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060" windowHeight="12060" tabRatio="502" activeTab="0"/>
  </bookViews>
  <sheets>
    <sheet name="Prod4_layout" sheetId="1" r:id="rId1"/>
    <sheet name="Prod4_facility" sheetId="2" r:id="rId2"/>
    <sheet name="Prod5_layout" sheetId="3" r:id="rId3"/>
    <sheet name="Prod5_facility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>
    <definedName name="E_Prod4">'Prod4_facility'!$AI$2</definedName>
    <definedName name="E_Prod4_OpAlg">'Prod4_facility'!$AL$5</definedName>
    <definedName name="E_Prod4_OpDir">'Prod4_facility'!$AL$3</definedName>
    <definedName name="E_Prod4_OpFeas">'Prod4_facility'!$AN$3</definedName>
    <definedName name="E_Prod4_OpFeasValue">'Prod4_facility'!$AN$4</definedName>
    <definedName name="E_Prod4_OpInterval">'Prod4_facility'!$AV$6</definedName>
    <definedName name="E_Prod4_OpName">'Prod4_facility'!$AJ$3</definedName>
    <definedName name="E_Prod4_OpObj">'Prod4_facility'!$AL$4</definedName>
    <definedName name="E_Prod4_OpObjTerms">'Prod4_facility'!$AJ$10:$AS$10</definedName>
    <definedName name="E_Prod4_OpProb">'Prod4_facility'!$AJ$5</definedName>
    <definedName name="E_Prod4_OpShow">'Prod4_facility'!$AV$9:$BG$29</definedName>
    <definedName name="E_Prod4_OpType">'Prod4_facility'!$AJ$4</definedName>
    <definedName name="E_Prod4_OpValue">'Prod4_facility'!$AJ$8:$AS$8</definedName>
    <definedName name="E_Prod4_OpVarName">'Prod4_facility'!$AJ$7:$AS$7</definedName>
    <definedName name="E_Prod5">'Prod5_facility'!$AI$2</definedName>
    <definedName name="E_Prod5_OpAlg">'Prod5_facility'!$AL$5</definedName>
    <definedName name="E_Prod5_OpDir">'Prod5_facility'!$AL$3</definedName>
    <definedName name="E_Prod5_OpFeas">'Prod5_facility'!$AN$3</definedName>
    <definedName name="E_Prod5_OpFeasValue">'Prod5_facility'!$AN$4</definedName>
    <definedName name="E_Prod5_OpInterval">'Prod5_facility'!$AV$6</definedName>
    <definedName name="E_Prod5_OpName">'Prod5_facility'!$AJ$3</definedName>
    <definedName name="E_Prod5_OpObj">'Prod5_facility'!$AL$4</definedName>
    <definedName name="E_Prod5_OpObjMatrix">'Prod5_facility'!$AJ$13:$AS$23</definedName>
    <definedName name="E_Prod5_OpObjTerms">'Prod5_facility'!$AJ$10:$AS$10</definedName>
    <definedName name="E_Prod5_OpProb">'Prod5_facility'!$AJ$5</definedName>
    <definedName name="E_Prod5_OpShow">'Prod5_facility'!$AV$9:$BG$29</definedName>
    <definedName name="E_Prod5_OpType">'Prod5_facility'!$AJ$4</definedName>
    <definedName name="E_Prod5_OpValue">'Prod5_facility'!$AJ$8:$AS$8</definedName>
    <definedName name="E_Prod5_OpVarName">'Prod5_facility'!$AJ$7:$AS$7</definedName>
    <definedName name="Prod4_area_def">'Prod4_facility'!$D$11:$D$20</definedName>
    <definedName name="Prod4_color">'Prod4_facility'!$B$11:$B$20</definedName>
    <definedName name="Prod4_cost">'Prod4_layout'!$B$48:$K$57</definedName>
    <definedName name="Prod4_cw">'Prod4_facility'!$E$8</definedName>
    <definedName name="Prod4_darea">'Prod4_layout'!$E$18:$E$27</definedName>
    <definedName name="Prod4_depts">'Prod4_layout'!$B$18:$B$27</definedName>
    <definedName name="Prod4_dim">'Prod4_layout'!$B$5</definedName>
    <definedName name="Prod4_fixed">'Prod4_layout'!$C$18:$C$27</definedName>
    <definedName name="Prod4_flow">'Prod4_layout'!$B$33:$K$42</definedName>
    <definedName name="Prod4_info">'Prod4_layout'!$B$18:$E$27</definedName>
    <definedName name="Prod4_Iterations">'Prod4_facility'!$AA$8:$AG$20</definedName>
    <definedName name="Prod4_length">'Prod4_layout'!$C$11</definedName>
    <definedName name="Prod4_method">'Prod4_facility'!$E$3</definedName>
    <definedName name="Prod4_name">'Prod4_layout'!$B$2</definedName>
    <definedName name="Prod4_num_col">'Prod4_facility'!$E$7</definedName>
    <definedName name="Prod4_num_fixed">'Prod4_layout'!$B$4</definedName>
    <definedName name="Prod4_number">'Prod4_layout'!$B$3</definedName>
    <definedName name="Prod4_parea">'Prod4_layout'!$C$13</definedName>
    <definedName name="Prod4_plnt">'Prod4_facility'!$J$11:$X$21</definedName>
    <definedName name="Prod4_scale">'Prod4_layout'!$B$10</definedName>
    <definedName name="Prod4_seq">'Prod4_facility'!$G$11:$G$20</definedName>
    <definedName name="Prod4_value">'Prod4_facility'!$B$8</definedName>
    <definedName name="Prod4_width">'Prod4_layout'!$C$12</definedName>
    <definedName name="Prod4_x_cent">'Prod4_facility'!$E$11:$E$20</definedName>
    <definedName name="Prod4_y_cent">'Prod4_facility'!$F$11:$F$20</definedName>
    <definedName name="Prod5_area_def">'Prod5_facility'!$D$11:$D$20</definedName>
    <definedName name="Prod5_color">'Prod5_facility'!$B$11:$B$20</definedName>
    <definedName name="Prod5_cost">'Prod5_layout'!$B$48:$K$57</definedName>
    <definedName name="Prod5_cw">'Prod5_facility'!$E$8</definedName>
    <definedName name="Prod5_darea">'Prod5_layout'!$E$18:$E$27</definedName>
    <definedName name="Prod5_depts">'Prod5_layout'!$B$18:$B$27</definedName>
    <definedName name="Prod5_dim">'Prod5_layout'!$B$5</definedName>
    <definedName name="Prod5_fixed">'Prod5_layout'!$C$18:$C$27</definedName>
    <definedName name="Prod5_flow">'Prod5_layout'!$B$33:$K$42</definedName>
    <definedName name="Prod5_info">'Prod5_layout'!$B$18:$E$27</definedName>
    <definedName name="Prod5_length">'Prod5_layout'!$C$11</definedName>
    <definedName name="Prod5_method">'Prod5_facility'!$E$3</definedName>
    <definedName name="Prod5_name">'Prod5_layout'!$B$2</definedName>
    <definedName name="Prod5_num_col">'Prod5_facility'!$E$7</definedName>
    <definedName name="Prod5_num_fixed">'Prod5_layout'!$B$4</definedName>
    <definedName name="Prod5_number">'Prod5_layout'!$B$3</definedName>
    <definedName name="Prod5_parea">'Prod5_layout'!$C$13</definedName>
    <definedName name="Prod5_plnt">'Prod5_facility'!$J$11:$X$21</definedName>
    <definedName name="Prod5_scale">'Prod5_layout'!$B$10</definedName>
    <definedName name="Prod5_seq">'Prod5_facility'!$G$11:$G$20</definedName>
    <definedName name="Prod5_value">'Prod5_facility'!$B$8</definedName>
    <definedName name="Prod5_width">'Prod5_layout'!$C$12</definedName>
    <definedName name="Prod5_x_cent">'Prod5_facility'!$E$11:$E$20</definedName>
    <definedName name="Prod5_y_cent">'Prod5_facility'!$F$11:$F$20</definedName>
  </definedNames>
  <calcPr fullCalcOnLoad="1"/>
</workbook>
</file>

<file path=xl/sharedStrings.xml><?xml version="1.0" encoding="utf-8"?>
<sst xmlns="http://schemas.openxmlformats.org/spreadsheetml/2006/main" count="327" uniqueCount="134">
  <si>
    <t>Layout Data</t>
  </si>
  <si>
    <t>Problem Name:</t>
  </si>
  <si>
    <t>Prod4</t>
  </si>
  <si>
    <t>Number Depts.:</t>
  </si>
  <si>
    <t>Fixed Points:</t>
  </si>
  <si>
    <t>Dimension:</t>
  </si>
  <si>
    <t>m</t>
  </si>
  <si>
    <t>Facility Information</t>
  </si>
  <si>
    <t>Scale-m/unit</t>
  </si>
  <si>
    <t>Cells</t>
  </si>
  <si>
    <t>Length-m</t>
  </si>
  <si>
    <t>Width-m</t>
  </si>
  <si>
    <t>Area-sq.m</t>
  </si>
  <si>
    <t>Department Information</t>
  </si>
  <si>
    <t>Name</t>
  </si>
  <si>
    <t>F/V</t>
  </si>
  <si>
    <t>Area</t>
  </si>
  <si>
    <t>Dept. 1</t>
  </si>
  <si>
    <t>Dept. 2</t>
  </si>
  <si>
    <t>Dept. 3</t>
  </si>
  <si>
    <t>Dept. 4</t>
  </si>
  <si>
    <t>Dept. 5</t>
  </si>
  <si>
    <t>Dept. 6</t>
  </si>
  <si>
    <t>Dept. 7</t>
  </si>
  <si>
    <t>Dept. 8</t>
  </si>
  <si>
    <t>Dept. 9</t>
  </si>
  <si>
    <t>Dept. 10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</si>
  <si>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</si>
  <si>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</si>
  <si>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</si>
  <si>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</si>
  <si>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</si>
  <si>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</si>
  <si>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</si>
  <si>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</si>
  <si>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</si>
  <si>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</si>
  <si>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 xml:space="preserve"> V</t>
  </si>
  <si>
    <t>Flow Matrix</t>
  </si>
  <si>
    <t>FROM</t>
  </si>
  <si>
    <t>TO</t>
  </si>
  <si>
    <t>Cost Matrix</t>
  </si>
  <si>
    <t>Define Facility</t>
  </si>
  <si>
    <t>Facility Layout</t>
  </si>
  <si>
    <t>Length(cells):</t>
  </si>
  <si>
    <t>Width(cells):</t>
  </si>
  <si>
    <t>Area (cells):</t>
  </si>
  <si>
    <t>Cost:</t>
  </si>
  <si>
    <t>Method:</t>
  </si>
  <si>
    <t>Layout:</t>
  </si>
  <si>
    <t>Fill Departments:</t>
  </si>
  <si>
    <t>Measure:</t>
  </si>
  <si>
    <t>Number Aisles:</t>
  </si>
  <si>
    <t>Dept. Width:</t>
  </si>
  <si>
    <t>Sequence</t>
  </si>
  <si>
    <t>Aisle</t>
  </si>
  <si>
    <t>No</t>
  </si>
  <si>
    <t>Rectilinear</t>
  </si>
  <si>
    <t>Department</t>
  </si>
  <si>
    <t>Color</t>
  </si>
  <si>
    <t>Area-required</t>
  </si>
  <si>
    <t>Area-defined</t>
  </si>
  <si>
    <t>x-centroid</t>
  </si>
  <si>
    <t>y-centroid</t>
  </si>
  <si>
    <t>Opt. Form</t>
  </si>
  <si>
    <t>Optimize</t>
  </si>
  <si>
    <t>Random Layout</t>
  </si>
  <si>
    <t>Evaluate</t>
  </si>
  <si>
    <t>Show Flows</t>
  </si>
  <si>
    <t>Solve</t>
  </si>
  <si>
    <t>Switch</t>
  </si>
  <si>
    <t>Change Facility</t>
  </si>
  <si>
    <t>Objective</t>
  </si>
  <si>
    <t>Feasible</t>
  </si>
  <si>
    <t>Dir.</t>
  </si>
  <si>
    <t>Value</t>
  </si>
  <si>
    <t>Min</t>
  </si>
  <si>
    <t>State</t>
  </si>
  <si>
    <t>E_Prod4</t>
  </si>
  <si>
    <t>Search Method</t>
  </si>
  <si>
    <t>Problem</t>
  </si>
  <si>
    <t>Permute</t>
  </si>
  <si>
    <t>Algorithm</t>
  </si>
  <si>
    <t>layout.xla!eval_layoutcomb</t>
  </si>
  <si>
    <t>Variables</t>
  </si>
  <si>
    <t>Permutation</t>
  </si>
  <si>
    <t>Obj. Terms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</si>
  <si>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</si>
  <si>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</si>
  <si>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</si>
  <si>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</si>
  <si>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</si>
  <si>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</si>
  <si>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</si>
  <si>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</si>
  <si>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</si>
  <si>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</si>
  <si>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</si>
  <si>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Value of current layout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</si>
  <si>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</si>
  <si>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</si>
  <si>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</si>
  <si>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</si>
  <si>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</si>
  <si>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</si>
  <si>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</si>
  <si>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</si>
  <si>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</si>
  <si>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</si>
  <si>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Current</t>
  </si>
  <si>
    <t>Current Sol. with Improvements</t>
  </si>
  <si>
    <t>Prod5</t>
  </si>
  <si>
    <t>E_Prod5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</si>
  <si>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</si>
  <si>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</si>
  <si>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</si>
  <si>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</si>
  <si>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</si>
  <si>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</si>
  <si>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</si>
  <si>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</si>
  <si>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</si>
  <si>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</si>
  <si>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C(i,j)</t>
  </si>
  <si>
    <t>***</t>
  </si>
  <si>
    <t>Init. Cost</t>
  </si>
  <si>
    <t>Index</t>
  </si>
  <si>
    <t>Init. Seq.</t>
  </si>
  <si>
    <t>Iter.</t>
  </si>
  <si>
    <t>Type</t>
  </si>
  <si>
    <t>Action</t>
  </si>
  <si>
    <t>Cost</t>
  </si>
  <si>
    <t>Iterations:</t>
  </si>
  <si>
    <t>No improving switches available.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</si>
</sst>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color indexed="17"/>
      <name val="Verdana"/>
      <family val="0"/>
    </font>
    <font>
      <sz val="16"/>
      <color indexed="12"/>
      <name val="Verdana"/>
      <family val="0"/>
    </font>
    <font>
      <sz val="10"/>
      <color indexed="12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9" borderId="3" xfId="0" applyFill="1" applyBorder="1" applyAlignment="1">
      <alignment/>
    </xf>
    <xf numFmtId="0" fontId="0" fillId="10" borderId="3" xfId="0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3" xfId="0" applyFill="1" applyBorder="1" applyAlignment="1">
      <alignment/>
    </xf>
    <xf numFmtId="0" fontId="0" fillId="14" borderId="1" xfId="0" applyFill="1" applyBorder="1" applyAlignment="1">
      <alignment/>
    </xf>
    <xf numFmtId="0" fontId="0" fillId="13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14" borderId="1" xfId="0" applyFill="1" applyBorder="1" applyAlignment="1">
      <alignment horizontal="right"/>
    </xf>
    <xf numFmtId="1" fontId="0" fillId="14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13" borderId="1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0</xdr:rowOff>
    </xdr:from>
    <xdr:to>
      <xdr:col>4</xdr:col>
      <xdr:colOff>0</xdr:colOff>
      <xdr:row>3</xdr:row>
      <xdr:rowOff>85725</xdr:rowOff>
    </xdr:to>
    <xdr:sp macro="[1]!transition">
      <xdr:nvSpPr>
        <xdr:cNvPr id="1" name="Oval 3"/>
        <xdr:cNvSpPr>
          <a:spLocks/>
        </xdr:cNvSpPr>
      </xdr:nvSpPr>
      <xdr:spPr>
        <a:xfrm>
          <a:off x="2619375" y="44767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</xdr:row>
      <xdr:rowOff>0</xdr:rowOff>
    </xdr:from>
    <xdr:to>
      <xdr:col>15</xdr:col>
      <xdr:colOff>0</xdr:colOff>
      <xdr:row>4</xdr:row>
      <xdr:rowOff>85725</xdr:rowOff>
    </xdr:to>
    <xdr:sp macro="[1]!layout_make_comb">
      <xdr:nvSpPr>
        <xdr:cNvPr id="1" name="Oval 336"/>
        <xdr:cNvSpPr>
          <a:spLocks/>
        </xdr:cNvSpPr>
      </xdr:nvSpPr>
      <xdr:spPr>
        <a:xfrm>
          <a:off x="7572375" y="5715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3</xdr:row>
      <xdr:rowOff>0</xdr:rowOff>
    </xdr:from>
    <xdr:to>
      <xdr:col>20</xdr:col>
      <xdr:colOff>0</xdr:colOff>
      <xdr:row>4</xdr:row>
      <xdr:rowOff>85725</xdr:rowOff>
    </xdr:to>
    <xdr:sp macro="[1]!layout_search_comb">
      <xdr:nvSpPr>
        <xdr:cNvPr id="2" name="Oval 337"/>
        <xdr:cNvSpPr>
          <a:spLocks/>
        </xdr:cNvSpPr>
      </xdr:nvSpPr>
      <xdr:spPr>
        <a:xfrm>
          <a:off x="9001125" y="5715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10</xdr:col>
      <xdr:colOff>0</xdr:colOff>
      <xdr:row>6</xdr:row>
      <xdr:rowOff>85725</xdr:rowOff>
    </xdr:to>
    <xdr:sp macro="[1]!col_layout_initial">
      <xdr:nvSpPr>
        <xdr:cNvPr id="3" name="Oval 338"/>
        <xdr:cNvSpPr>
          <a:spLocks/>
        </xdr:cNvSpPr>
      </xdr:nvSpPr>
      <xdr:spPr>
        <a:xfrm>
          <a:off x="6143625" y="8953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15</xdr:col>
      <xdr:colOff>0</xdr:colOff>
      <xdr:row>6</xdr:row>
      <xdr:rowOff>85725</xdr:rowOff>
    </xdr:to>
    <xdr:sp macro="[1]!eval_layout">
      <xdr:nvSpPr>
        <xdr:cNvPr id="4" name="Oval 339"/>
        <xdr:cNvSpPr>
          <a:spLocks/>
        </xdr:cNvSpPr>
      </xdr:nvSpPr>
      <xdr:spPr>
        <a:xfrm>
          <a:off x="7572375" y="8953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0</xdr:rowOff>
    </xdr:from>
    <xdr:to>
      <xdr:col>20</xdr:col>
      <xdr:colOff>0</xdr:colOff>
      <xdr:row>6</xdr:row>
      <xdr:rowOff>85725</xdr:rowOff>
    </xdr:to>
    <xdr:sp macro="[1]!show_flow_lines">
      <xdr:nvSpPr>
        <xdr:cNvPr id="5" name="Oval 340"/>
        <xdr:cNvSpPr>
          <a:spLocks/>
        </xdr:cNvSpPr>
      </xdr:nvSpPr>
      <xdr:spPr>
        <a:xfrm>
          <a:off x="9001125" y="8953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10</xdr:col>
      <xdr:colOff>0</xdr:colOff>
      <xdr:row>8</xdr:row>
      <xdr:rowOff>85725</xdr:rowOff>
    </xdr:to>
    <xdr:sp macro="[1]!layout_main">
      <xdr:nvSpPr>
        <xdr:cNvPr id="6" name="Oval 341"/>
        <xdr:cNvSpPr>
          <a:spLocks/>
        </xdr:cNvSpPr>
      </xdr:nvSpPr>
      <xdr:spPr>
        <a:xfrm>
          <a:off x="6143625" y="12192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15</xdr:col>
      <xdr:colOff>0</xdr:colOff>
      <xdr:row>8</xdr:row>
      <xdr:rowOff>85725</xdr:rowOff>
    </xdr:to>
    <xdr:sp macro="[1]!Forced_Switch">
      <xdr:nvSpPr>
        <xdr:cNvPr id="7" name="Oval 342"/>
        <xdr:cNvSpPr>
          <a:spLocks/>
        </xdr:cNvSpPr>
      </xdr:nvSpPr>
      <xdr:spPr>
        <a:xfrm>
          <a:off x="7572375" y="12192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0</xdr:rowOff>
    </xdr:from>
    <xdr:to>
      <xdr:col>20</xdr:col>
      <xdr:colOff>0</xdr:colOff>
      <xdr:row>8</xdr:row>
      <xdr:rowOff>85725</xdr:rowOff>
    </xdr:to>
    <xdr:sp macro="[1]!layout_new_plant">
      <xdr:nvSpPr>
        <xdr:cNvPr id="8" name="Oval 343"/>
        <xdr:cNvSpPr>
          <a:spLocks/>
        </xdr:cNvSpPr>
      </xdr:nvSpPr>
      <xdr:spPr>
        <a:xfrm>
          <a:off x="9001125" y="12192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142875</xdr:colOff>
      <xdr:row>11</xdr:row>
      <xdr:rowOff>0</xdr:rowOff>
    </xdr:from>
    <xdr:to>
      <xdr:col>11</xdr:col>
      <xdr:colOff>142875</xdr:colOff>
      <xdr:row>20</xdr:row>
      <xdr:rowOff>0</xdr:rowOff>
    </xdr:to>
    <xdr:sp>
      <xdr:nvSpPr>
        <xdr:cNvPr id="9" name="Line 344"/>
        <xdr:cNvSpPr>
          <a:spLocks/>
        </xdr:cNvSpPr>
      </xdr:nvSpPr>
      <xdr:spPr>
        <a:xfrm>
          <a:off x="6791325" y="2028825"/>
          <a:ext cx="0" cy="29146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142875</xdr:colOff>
      <xdr:row>20</xdr:row>
      <xdr:rowOff>0</xdr:rowOff>
    </xdr:from>
    <xdr:to>
      <xdr:col>16</xdr:col>
      <xdr:colOff>142875</xdr:colOff>
      <xdr:row>20</xdr:row>
      <xdr:rowOff>0</xdr:rowOff>
    </xdr:to>
    <xdr:sp>
      <xdr:nvSpPr>
        <xdr:cNvPr id="10" name="Line 345"/>
        <xdr:cNvSpPr>
          <a:spLocks/>
        </xdr:cNvSpPr>
      </xdr:nvSpPr>
      <xdr:spPr>
        <a:xfrm>
          <a:off x="6791325" y="4943475"/>
          <a:ext cx="14287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142875</xdr:colOff>
      <xdr:row>11</xdr:row>
      <xdr:rowOff>0</xdr:rowOff>
    </xdr:from>
    <xdr:to>
      <xdr:col>16</xdr:col>
      <xdr:colOff>142875</xdr:colOff>
      <xdr:row>20</xdr:row>
      <xdr:rowOff>0</xdr:rowOff>
    </xdr:to>
    <xdr:sp>
      <xdr:nvSpPr>
        <xdr:cNvPr id="11" name="Line 346"/>
        <xdr:cNvSpPr>
          <a:spLocks/>
        </xdr:cNvSpPr>
      </xdr:nvSpPr>
      <xdr:spPr>
        <a:xfrm>
          <a:off x="8220075" y="2028825"/>
          <a:ext cx="0" cy="29146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142875</xdr:colOff>
      <xdr:row>11</xdr:row>
      <xdr:rowOff>0</xdr:rowOff>
    </xdr:from>
    <xdr:to>
      <xdr:col>21</xdr:col>
      <xdr:colOff>142875</xdr:colOff>
      <xdr:row>11</xdr:row>
      <xdr:rowOff>0</xdr:rowOff>
    </xdr:to>
    <xdr:sp>
      <xdr:nvSpPr>
        <xdr:cNvPr id="12" name="Line 347"/>
        <xdr:cNvSpPr>
          <a:spLocks/>
        </xdr:cNvSpPr>
      </xdr:nvSpPr>
      <xdr:spPr>
        <a:xfrm>
          <a:off x="8220075" y="2028825"/>
          <a:ext cx="14287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142875</xdr:colOff>
      <xdr:row>11</xdr:row>
      <xdr:rowOff>0</xdr:rowOff>
    </xdr:from>
    <xdr:to>
      <xdr:col>21</xdr:col>
      <xdr:colOff>142875</xdr:colOff>
      <xdr:row>20</xdr:row>
      <xdr:rowOff>0</xdr:rowOff>
    </xdr:to>
    <xdr:sp>
      <xdr:nvSpPr>
        <xdr:cNvPr id="13" name="Line 348"/>
        <xdr:cNvSpPr>
          <a:spLocks/>
        </xdr:cNvSpPr>
      </xdr:nvSpPr>
      <xdr:spPr>
        <a:xfrm>
          <a:off x="9648825" y="2028825"/>
          <a:ext cx="0" cy="29146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0</xdr:rowOff>
    </xdr:from>
    <xdr:to>
      <xdr:col>4</xdr:col>
      <xdr:colOff>0</xdr:colOff>
      <xdr:row>3</xdr:row>
      <xdr:rowOff>85725</xdr:rowOff>
    </xdr:to>
    <xdr:sp macro="[1]!transition">
      <xdr:nvSpPr>
        <xdr:cNvPr id="1" name="Oval 2"/>
        <xdr:cNvSpPr>
          <a:spLocks/>
        </xdr:cNvSpPr>
      </xdr:nvSpPr>
      <xdr:spPr>
        <a:xfrm>
          <a:off x="2619375" y="447675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</xdr:row>
      <xdr:rowOff>0</xdr:rowOff>
    </xdr:from>
    <xdr:to>
      <xdr:col>15</xdr:col>
      <xdr:colOff>0</xdr:colOff>
      <xdr:row>4</xdr:row>
      <xdr:rowOff>85725</xdr:rowOff>
    </xdr:to>
    <xdr:sp macro="[1]!layout_make_comb">
      <xdr:nvSpPr>
        <xdr:cNvPr id="1" name="Oval 690"/>
        <xdr:cNvSpPr>
          <a:spLocks/>
        </xdr:cNvSpPr>
      </xdr:nvSpPr>
      <xdr:spPr>
        <a:xfrm>
          <a:off x="8601075" y="5715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3</xdr:row>
      <xdr:rowOff>0</xdr:rowOff>
    </xdr:from>
    <xdr:to>
      <xdr:col>20</xdr:col>
      <xdr:colOff>0</xdr:colOff>
      <xdr:row>4</xdr:row>
      <xdr:rowOff>85725</xdr:rowOff>
    </xdr:to>
    <xdr:sp macro="[1]!layout_search_comb">
      <xdr:nvSpPr>
        <xdr:cNvPr id="2" name="Oval 691"/>
        <xdr:cNvSpPr>
          <a:spLocks/>
        </xdr:cNvSpPr>
      </xdr:nvSpPr>
      <xdr:spPr>
        <a:xfrm>
          <a:off x="10029825" y="5715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10</xdr:col>
      <xdr:colOff>0</xdr:colOff>
      <xdr:row>6</xdr:row>
      <xdr:rowOff>85725</xdr:rowOff>
    </xdr:to>
    <xdr:sp macro="[1]!col_layout_initial">
      <xdr:nvSpPr>
        <xdr:cNvPr id="3" name="Oval 692"/>
        <xdr:cNvSpPr>
          <a:spLocks/>
        </xdr:cNvSpPr>
      </xdr:nvSpPr>
      <xdr:spPr>
        <a:xfrm>
          <a:off x="7172325" y="8953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15</xdr:col>
      <xdr:colOff>0</xdr:colOff>
      <xdr:row>6</xdr:row>
      <xdr:rowOff>85725</xdr:rowOff>
    </xdr:to>
    <xdr:sp macro="[1]!eval_layout">
      <xdr:nvSpPr>
        <xdr:cNvPr id="4" name="Oval 693"/>
        <xdr:cNvSpPr>
          <a:spLocks/>
        </xdr:cNvSpPr>
      </xdr:nvSpPr>
      <xdr:spPr>
        <a:xfrm>
          <a:off x="8601075" y="8953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0</xdr:rowOff>
    </xdr:from>
    <xdr:to>
      <xdr:col>20</xdr:col>
      <xdr:colOff>0</xdr:colOff>
      <xdr:row>6</xdr:row>
      <xdr:rowOff>85725</xdr:rowOff>
    </xdr:to>
    <xdr:sp macro="[1]!show_flow_lines">
      <xdr:nvSpPr>
        <xdr:cNvPr id="5" name="Oval 694"/>
        <xdr:cNvSpPr>
          <a:spLocks/>
        </xdr:cNvSpPr>
      </xdr:nvSpPr>
      <xdr:spPr>
        <a:xfrm>
          <a:off x="10029825" y="89535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0</xdr:rowOff>
    </xdr:from>
    <xdr:to>
      <xdr:col>10</xdr:col>
      <xdr:colOff>0</xdr:colOff>
      <xdr:row>8</xdr:row>
      <xdr:rowOff>85725</xdr:rowOff>
    </xdr:to>
    <xdr:sp macro="[1]!layout_main">
      <xdr:nvSpPr>
        <xdr:cNvPr id="6" name="Oval 695"/>
        <xdr:cNvSpPr>
          <a:spLocks/>
        </xdr:cNvSpPr>
      </xdr:nvSpPr>
      <xdr:spPr>
        <a:xfrm>
          <a:off x="7172325" y="12192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15</xdr:col>
      <xdr:colOff>0</xdr:colOff>
      <xdr:row>8</xdr:row>
      <xdr:rowOff>85725</xdr:rowOff>
    </xdr:to>
    <xdr:sp macro="[1]!Forced_Switch">
      <xdr:nvSpPr>
        <xdr:cNvPr id="7" name="Oval 696"/>
        <xdr:cNvSpPr>
          <a:spLocks/>
        </xdr:cNvSpPr>
      </xdr:nvSpPr>
      <xdr:spPr>
        <a:xfrm>
          <a:off x="8601075" y="12192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0</xdr:rowOff>
    </xdr:from>
    <xdr:to>
      <xdr:col>20</xdr:col>
      <xdr:colOff>0</xdr:colOff>
      <xdr:row>8</xdr:row>
      <xdr:rowOff>85725</xdr:rowOff>
    </xdr:to>
    <xdr:sp macro="[1]!layout_new_plant">
      <xdr:nvSpPr>
        <xdr:cNvPr id="8" name="Oval 697"/>
        <xdr:cNvSpPr>
          <a:spLocks/>
        </xdr:cNvSpPr>
      </xdr:nvSpPr>
      <xdr:spPr>
        <a:xfrm>
          <a:off x="10029825" y="1219200"/>
          <a:ext cx="2190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layou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l_layout_initial"/>
      <definedName name="eval_layout"/>
      <definedName name="Forced_Switch"/>
      <definedName name="layout_main"/>
      <definedName name="layout_make_comb"/>
      <definedName name="layout_new_plant"/>
      <definedName name="layout_search_comb"/>
      <definedName name="show_flow_lines"/>
      <definedName name="transi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7.00390625" style="0" bestFit="1" customWidth="1"/>
    <col min="2" max="16384" width="6.75390625" style="0" customWidth="1"/>
  </cols>
  <sheetData>
    <row r="1" ht="22.5">
      <c r="A1" s="1" t="s">
        <v>0</v>
      </c>
    </row>
    <row r="2" spans="1:2" ht="12.75">
      <c r="A2" s="2" t="s">
        <v>1</v>
      </c>
      <c r="B2" s="5" t="s">
        <v>2</v>
      </c>
    </row>
    <row r="3" spans="1:5" ht="12.75">
      <c r="A3" s="2" t="s">
        <v>3</v>
      </c>
      <c r="B3" s="5">
        <v>10</v>
      </c>
      <c r="E3" s="15" t="s">
        <v>42</v>
      </c>
    </row>
    <row r="4" spans="1:2" ht="12.75">
      <c r="A4" s="2" t="s">
        <v>4</v>
      </c>
      <c r="B4" s="5">
        <v>0</v>
      </c>
    </row>
    <row r="5" spans="1:2" ht="12.75">
      <c r="A5" s="2" t="s">
        <v>5</v>
      </c>
      <c r="B5" s="5" t="s">
        <v>6</v>
      </c>
    </row>
    <row r="8" ht="19.5">
      <c r="A8" s="6" t="s">
        <v>7</v>
      </c>
    </row>
    <row r="10" spans="1:3" ht="12.75">
      <c r="A10" s="2" t="s">
        <v>8</v>
      </c>
      <c r="B10" s="7">
        <v>1</v>
      </c>
      <c r="C10" s="8" t="s">
        <v>9</v>
      </c>
    </row>
    <row r="11" spans="1:3" ht="12.75">
      <c r="A11" s="2" t="s">
        <v>10</v>
      </c>
      <c r="B11" s="7">
        <v>11</v>
      </c>
      <c r="C11" s="8">
        <f>ROUNDUP(B11/Prod4_scale,0)</f>
        <v>11</v>
      </c>
    </row>
    <row r="12" spans="1:3" ht="12.75">
      <c r="A12" s="2" t="s">
        <v>11</v>
      </c>
      <c r="B12" s="7">
        <v>15</v>
      </c>
      <c r="C12" s="8">
        <f>ROUNDUP(B12/Prod4_scale,0)</f>
        <v>15</v>
      </c>
    </row>
    <row r="13" spans="1:3" ht="12.75">
      <c r="A13" s="2" t="s">
        <v>12</v>
      </c>
      <c r="B13" s="7">
        <f>B11*B12</f>
        <v>165</v>
      </c>
      <c r="C13" s="8">
        <f>C11*C12</f>
        <v>165</v>
      </c>
    </row>
    <row r="16" ht="19.5">
      <c r="A16" s="6" t="s">
        <v>13</v>
      </c>
    </row>
    <row r="17" spans="2:5" ht="12.75">
      <c r="B17" s="9" t="s">
        <v>14</v>
      </c>
      <c r="C17" s="9" t="s">
        <v>15</v>
      </c>
      <c r="D17" s="9" t="s">
        <v>16</v>
      </c>
      <c r="E17" s="9" t="s">
        <v>9</v>
      </c>
    </row>
    <row r="18" spans="1:5" ht="12.75">
      <c r="A18" s="2" t="s">
        <v>17</v>
      </c>
      <c r="B18" s="10" t="s">
        <v>27</v>
      </c>
      <c r="C18" s="11" t="s">
        <v>37</v>
      </c>
      <c r="D18" s="11">
        <v>5</v>
      </c>
      <c r="E18" s="12">
        <f>ROUNDUP(D18/(Prod4_scale)^2,0)</f>
        <v>5</v>
      </c>
    </row>
    <row r="19" spans="1:5" ht="12.75">
      <c r="A19" s="2" t="s">
        <v>18</v>
      </c>
      <c r="B19" s="10" t="s">
        <v>28</v>
      </c>
      <c r="C19" s="11" t="s">
        <v>37</v>
      </c>
      <c r="D19" s="11">
        <v>10</v>
      </c>
      <c r="E19" s="12">
        <f aca="true" t="shared" si="0" ref="E19:E27">ROUNDUP(D19/(Prod4_scale)^2,0)</f>
        <v>10</v>
      </c>
    </row>
    <row r="20" spans="1:5" ht="12.75">
      <c r="A20" s="2" t="s">
        <v>19</v>
      </c>
      <c r="B20" s="10" t="s">
        <v>29</v>
      </c>
      <c r="C20" s="11" t="s">
        <v>37</v>
      </c>
      <c r="D20" s="11">
        <v>20</v>
      </c>
      <c r="E20" s="12">
        <f t="shared" si="0"/>
        <v>20</v>
      </c>
    </row>
    <row r="21" spans="1:5" ht="12.75">
      <c r="A21" s="2" t="s">
        <v>20</v>
      </c>
      <c r="B21" s="10" t="s">
        <v>30</v>
      </c>
      <c r="C21" s="11" t="s">
        <v>37</v>
      </c>
      <c r="D21" s="11">
        <v>30</v>
      </c>
      <c r="E21" s="12">
        <f t="shared" si="0"/>
        <v>30</v>
      </c>
    </row>
    <row r="22" spans="1:5" ht="12.75">
      <c r="A22" s="2" t="s">
        <v>21</v>
      </c>
      <c r="B22" s="10" t="s">
        <v>31</v>
      </c>
      <c r="C22" s="11" t="s">
        <v>37</v>
      </c>
      <c r="D22" s="11">
        <v>20</v>
      </c>
      <c r="E22" s="12">
        <f t="shared" si="0"/>
        <v>20</v>
      </c>
    </row>
    <row r="23" spans="1:5" ht="12.75">
      <c r="A23" s="2" t="s">
        <v>22</v>
      </c>
      <c r="B23" s="10" t="s">
        <v>32</v>
      </c>
      <c r="C23" s="11" t="s">
        <v>37</v>
      </c>
      <c r="D23" s="11">
        <v>10</v>
      </c>
      <c r="E23" s="12">
        <f t="shared" si="0"/>
        <v>10</v>
      </c>
    </row>
    <row r="24" spans="1:5" ht="12.75">
      <c r="A24" s="2" t="s">
        <v>23</v>
      </c>
      <c r="B24" s="10" t="s">
        <v>33</v>
      </c>
      <c r="C24" s="11" t="s">
        <v>37</v>
      </c>
      <c r="D24" s="11">
        <v>5</v>
      </c>
      <c r="E24" s="12">
        <f t="shared" si="0"/>
        <v>5</v>
      </c>
    </row>
    <row r="25" spans="1:5" ht="12.75">
      <c r="A25" s="2" t="s">
        <v>24</v>
      </c>
      <c r="B25" s="10" t="s">
        <v>34</v>
      </c>
      <c r="C25" s="11" t="s">
        <v>37</v>
      </c>
      <c r="D25" s="11">
        <v>10</v>
      </c>
      <c r="E25" s="12">
        <f t="shared" si="0"/>
        <v>10</v>
      </c>
    </row>
    <row r="26" spans="1:5" ht="12.75">
      <c r="A26" s="2" t="s">
        <v>25</v>
      </c>
      <c r="B26" s="10" t="s">
        <v>35</v>
      </c>
      <c r="C26" s="11" t="s">
        <v>37</v>
      </c>
      <c r="D26" s="11">
        <v>20</v>
      </c>
      <c r="E26" s="12">
        <f t="shared" si="0"/>
        <v>20</v>
      </c>
    </row>
    <row r="27" spans="1:5" ht="12.75">
      <c r="A27" s="2" t="s">
        <v>26</v>
      </c>
      <c r="B27" s="10" t="s">
        <v>36</v>
      </c>
      <c r="C27" s="11" t="s">
        <v>37</v>
      </c>
      <c r="D27" s="11">
        <v>30</v>
      </c>
      <c r="E27" s="12">
        <f t="shared" si="0"/>
        <v>30</v>
      </c>
    </row>
    <row r="30" ht="19.5">
      <c r="A30" s="6" t="s">
        <v>38</v>
      </c>
    </row>
    <row r="31" ht="12.75">
      <c r="B31" s="13" t="s">
        <v>40</v>
      </c>
    </row>
    <row r="32" spans="1:11" ht="12.75">
      <c r="A32" s="14" t="s">
        <v>39</v>
      </c>
      <c r="B32" s="3" t="str">
        <f>INDEX(Prod4_depts,1)</f>
        <v>D 1</v>
      </c>
      <c r="C32" s="3" t="str">
        <f>INDEX(Prod4_depts,2)</f>
        <v>D 2</v>
      </c>
      <c r="D32" s="3" t="str">
        <f>INDEX(Prod4_depts,3)</f>
        <v>D 3</v>
      </c>
      <c r="E32" s="3" t="str">
        <f>INDEX(Prod4_depts,4)</f>
        <v>D 4</v>
      </c>
      <c r="F32" s="3" t="str">
        <f>INDEX(Prod4_depts,5)</f>
        <v>D 5</v>
      </c>
      <c r="G32" s="3" t="str">
        <f>INDEX(Prod4_depts,6)</f>
        <v>D 6</v>
      </c>
      <c r="H32" s="3" t="str">
        <f>INDEX(Prod4_depts,7)</f>
        <v>D 7</v>
      </c>
      <c r="I32" s="3" t="str">
        <f>INDEX(Prod4_depts,8)</f>
        <v>D 8</v>
      </c>
      <c r="J32" s="3" t="str">
        <f>INDEX(Prod4_depts,9)</f>
        <v>D 9</v>
      </c>
      <c r="K32" s="3" t="str">
        <f>INDEX(Prod4_depts,10)</f>
        <v>D 10</v>
      </c>
    </row>
    <row r="33" spans="1:11" ht="12.75">
      <c r="A33" s="2" t="str">
        <f>INDEX(Prod4_depts,1)</f>
        <v>D 1</v>
      </c>
      <c r="B33" s="10"/>
      <c r="C33" s="10"/>
      <c r="D33" s="10"/>
      <c r="E33" s="10">
        <v>16</v>
      </c>
      <c r="F33" s="10"/>
      <c r="G33" s="10"/>
      <c r="H33" s="10"/>
      <c r="I33" s="10"/>
      <c r="J33" s="10"/>
      <c r="K33" s="10"/>
    </row>
    <row r="34" spans="1:11" ht="12.75">
      <c r="A34" s="2" t="str">
        <f>INDEX(Prod4_depts,2)</f>
        <v>D 2</v>
      </c>
      <c r="B34" s="10"/>
      <c r="C34" s="10"/>
      <c r="D34" s="10"/>
      <c r="E34" s="10"/>
      <c r="F34" s="10"/>
      <c r="G34" s="10"/>
      <c r="H34" s="10">
        <v>11</v>
      </c>
      <c r="I34" s="10"/>
      <c r="J34" s="10">
        <v>16</v>
      </c>
      <c r="K34" s="10"/>
    </row>
    <row r="35" spans="1:11" ht="12.75">
      <c r="A35" s="2" t="str">
        <f>INDEX(Prod4_depts,3)</f>
        <v>D 3</v>
      </c>
      <c r="B35" s="10">
        <v>15</v>
      </c>
      <c r="C35" s="10">
        <v>16</v>
      </c>
      <c r="D35" s="10"/>
      <c r="E35" s="10">
        <v>14</v>
      </c>
      <c r="F35" s="10">
        <v>12</v>
      </c>
      <c r="G35" s="10"/>
      <c r="H35" s="10">
        <v>13</v>
      </c>
      <c r="I35" s="10">
        <v>12</v>
      </c>
      <c r="J35" s="10"/>
      <c r="K35" s="10"/>
    </row>
    <row r="36" spans="1:11" ht="12.75">
      <c r="A36" s="2" t="str">
        <f>INDEX(Prod4_depts,4)</f>
        <v>D 4</v>
      </c>
      <c r="B36" s="10"/>
      <c r="C36" s="10">
        <v>18</v>
      </c>
      <c r="D36" s="10"/>
      <c r="E36" s="10"/>
      <c r="F36" s="10">
        <v>13</v>
      </c>
      <c r="G36" s="10"/>
      <c r="H36" s="10"/>
      <c r="I36" s="10"/>
      <c r="J36" s="10">
        <v>16</v>
      </c>
      <c r="K36" s="10"/>
    </row>
    <row r="37" spans="1:11" ht="12.75">
      <c r="A37" s="2" t="str">
        <f>INDEX(Prod4_depts,5)</f>
        <v>D 5</v>
      </c>
      <c r="B37" s="10"/>
      <c r="C37" s="10"/>
      <c r="D37" s="10"/>
      <c r="E37" s="10"/>
      <c r="F37" s="10"/>
      <c r="G37" s="10">
        <v>19</v>
      </c>
      <c r="H37" s="10"/>
      <c r="I37" s="10">
        <v>12</v>
      </c>
      <c r="J37" s="10"/>
      <c r="K37" s="10">
        <v>17</v>
      </c>
    </row>
    <row r="38" spans="1:11" ht="12.75">
      <c r="A38" s="2" t="str">
        <f>INDEX(Prod4_depts,6)</f>
        <v>D 6</v>
      </c>
      <c r="B38" s="10"/>
      <c r="C38" s="10">
        <v>15</v>
      </c>
      <c r="D38" s="10">
        <v>16</v>
      </c>
      <c r="E38" s="10">
        <v>15</v>
      </c>
      <c r="F38" s="10"/>
      <c r="G38" s="10"/>
      <c r="H38" s="10">
        <v>13</v>
      </c>
      <c r="I38" s="10">
        <v>13</v>
      </c>
      <c r="J38" s="10"/>
      <c r="K38" s="10"/>
    </row>
    <row r="39" spans="1:11" ht="12.75">
      <c r="A39" s="2" t="str">
        <f>INDEX(Prod4_depts,7)</f>
        <v>D 7</v>
      </c>
      <c r="B39" s="10"/>
      <c r="C39" s="10">
        <v>16</v>
      </c>
      <c r="D39" s="10"/>
      <c r="E39" s="10"/>
      <c r="F39" s="10">
        <v>16</v>
      </c>
      <c r="G39" s="10">
        <v>14</v>
      </c>
      <c r="H39" s="10"/>
      <c r="I39" s="10">
        <v>13</v>
      </c>
      <c r="J39" s="10"/>
      <c r="K39" s="10"/>
    </row>
    <row r="40" spans="1:11" ht="12.75">
      <c r="A40" s="2" t="str">
        <f>INDEX(Prod4_depts,8)</f>
        <v>D 8</v>
      </c>
      <c r="B40" s="10"/>
      <c r="C40" s="10"/>
      <c r="D40" s="10">
        <v>16</v>
      </c>
      <c r="E40" s="10"/>
      <c r="F40" s="10"/>
      <c r="G40" s="10">
        <v>12</v>
      </c>
      <c r="H40" s="10"/>
      <c r="I40" s="10"/>
      <c r="J40" s="10"/>
      <c r="K40" s="10">
        <v>17</v>
      </c>
    </row>
    <row r="41" spans="1:11" ht="12.75">
      <c r="A41" s="2" t="str">
        <f>INDEX(Prod4_depts,9)</f>
        <v>D 9</v>
      </c>
      <c r="B41" s="10"/>
      <c r="C41" s="10">
        <v>13</v>
      </c>
      <c r="D41" s="10">
        <v>13</v>
      </c>
      <c r="E41" s="10"/>
      <c r="F41" s="10">
        <v>19</v>
      </c>
      <c r="G41" s="10">
        <v>12</v>
      </c>
      <c r="H41" s="10"/>
      <c r="I41" s="10"/>
      <c r="J41" s="10"/>
      <c r="K41" s="10">
        <v>13</v>
      </c>
    </row>
    <row r="42" spans="1:11" ht="12.75">
      <c r="A42" s="2" t="str">
        <f>INDEX(Prod4_depts,10)</f>
        <v>D 10</v>
      </c>
      <c r="B42" s="10">
        <v>13</v>
      </c>
      <c r="C42" s="10">
        <v>17</v>
      </c>
      <c r="D42" s="10"/>
      <c r="E42" s="10"/>
      <c r="F42" s="10"/>
      <c r="G42" s="10">
        <v>13</v>
      </c>
      <c r="H42" s="10">
        <v>11</v>
      </c>
      <c r="I42" s="10">
        <v>18</v>
      </c>
      <c r="J42" s="10"/>
      <c r="K42" s="10"/>
    </row>
    <row r="45" ht="19.5">
      <c r="A45" s="6" t="s">
        <v>41</v>
      </c>
    </row>
    <row r="46" ht="12.75">
      <c r="B46" s="13" t="s">
        <v>40</v>
      </c>
    </row>
    <row r="47" spans="1:11" ht="12.75">
      <c r="A47" s="14" t="s">
        <v>39</v>
      </c>
      <c r="B47" s="3" t="str">
        <f>INDEX(Prod4_depts,1)</f>
        <v>D 1</v>
      </c>
      <c r="C47" s="3" t="str">
        <f>INDEX(Prod4_depts,2)</f>
        <v>D 2</v>
      </c>
      <c r="D47" s="3" t="str">
        <f>INDEX(Prod4_depts,3)</f>
        <v>D 3</v>
      </c>
      <c r="E47" s="3" t="str">
        <f>INDEX(Prod4_depts,4)</f>
        <v>D 4</v>
      </c>
      <c r="F47" s="3" t="str">
        <f>INDEX(Prod4_depts,5)</f>
        <v>D 5</v>
      </c>
      <c r="G47" s="3" t="str">
        <f>INDEX(Prod4_depts,6)</f>
        <v>D 6</v>
      </c>
      <c r="H47" s="3" t="str">
        <f>INDEX(Prod4_depts,7)</f>
        <v>D 7</v>
      </c>
      <c r="I47" s="3" t="str">
        <f>INDEX(Prod4_depts,8)</f>
        <v>D 8</v>
      </c>
      <c r="J47" s="3" t="str">
        <f>INDEX(Prod4_depts,9)</f>
        <v>D 9</v>
      </c>
      <c r="K47" s="3" t="str">
        <f>INDEX(Prod4_depts,10)</f>
        <v>D 10</v>
      </c>
    </row>
    <row r="48" spans="1:11" ht="12.75">
      <c r="A48" s="2" t="str">
        <f>INDEX(Prod4_depts,1)</f>
        <v>D 1</v>
      </c>
      <c r="B48" s="10">
        <v>1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</row>
    <row r="49" spans="1:11" ht="12.75">
      <c r="A49" s="2" t="str">
        <f>INDEX(Prod4_depts,2)</f>
        <v>D 2</v>
      </c>
      <c r="B49" s="10">
        <v>1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</row>
    <row r="50" spans="1:11" ht="12.75">
      <c r="A50" s="2" t="str">
        <f>INDEX(Prod4_depts,3)</f>
        <v>D 3</v>
      </c>
      <c r="B50" s="10">
        <v>1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</row>
    <row r="51" spans="1:11" ht="12.75">
      <c r="A51" s="2" t="str">
        <f>INDEX(Prod4_depts,4)</f>
        <v>D 4</v>
      </c>
      <c r="B51" s="10">
        <v>1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</row>
    <row r="52" spans="1:11" ht="12.75">
      <c r="A52" s="2" t="str">
        <f>INDEX(Prod4_depts,5)</f>
        <v>D 5</v>
      </c>
      <c r="B52" s="10">
        <v>1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</row>
    <row r="53" spans="1:11" ht="12.75">
      <c r="A53" s="2" t="str">
        <f>INDEX(Prod4_depts,6)</f>
        <v>D 6</v>
      </c>
      <c r="B53" s="10">
        <v>1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</row>
    <row r="54" spans="1:11" ht="12.75">
      <c r="A54" s="2" t="str">
        <f>INDEX(Prod4_depts,7)</f>
        <v>D 7</v>
      </c>
      <c r="B54" s="10">
        <v>1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</row>
    <row r="55" spans="1:11" ht="12.75">
      <c r="A55" s="2" t="str">
        <f>INDEX(Prod4_depts,8)</f>
        <v>D 8</v>
      </c>
      <c r="B55" s="10">
        <v>1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</row>
    <row r="56" spans="1:11" ht="12.75">
      <c r="A56" s="2" t="str">
        <f>INDEX(Prod4_depts,9)</f>
        <v>D 9</v>
      </c>
      <c r="B56" s="10">
        <v>1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</row>
    <row r="57" spans="1:11" ht="12.75">
      <c r="A57" s="2" t="str">
        <f>INDEX(Prod4_depts,10)</f>
        <v>D 10</v>
      </c>
      <c r="B57" s="10">
        <v>1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1"/>
  <sheetViews>
    <sheetView showGridLines="0" workbookViewId="0" topLeftCell="I3">
      <selection activeCell="I3" sqref="I3"/>
    </sheetView>
  </sheetViews>
  <sheetFormatPr defaultColWidth="11.00390625" defaultRowHeight="12.75"/>
  <cols>
    <col min="1" max="1" width="15.75390625" style="0" customWidth="1"/>
    <col min="2" max="7" width="8.75390625" style="0" customWidth="1"/>
    <col min="8" max="9" width="5.75390625" style="0" customWidth="1"/>
    <col min="10" max="24" width="3.75390625" style="0" customWidth="1"/>
    <col min="25" max="34" width="5.75390625" style="0" customWidth="1"/>
    <col min="35" max="35" width="12.75390625" style="0" customWidth="1"/>
    <col min="36" max="45" width="6.75390625" style="0" customWidth="1"/>
    <col min="46" max="46" width="5.75390625" style="0" customWidth="1"/>
    <col min="47" max="47" width="12.375" style="0" customWidth="1"/>
    <col min="48" max="16384" width="5.75390625" style="0" customWidth="1"/>
  </cols>
  <sheetData>
    <row r="1" ht="19.5">
      <c r="A1" s="6" t="s">
        <v>43</v>
      </c>
    </row>
    <row r="2" spans="35:49" ht="12.75">
      <c r="AI2" s="42" t="s">
        <v>65</v>
      </c>
      <c r="AL2" s="3" t="s">
        <v>72</v>
      </c>
      <c r="AM2" s="3"/>
      <c r="AN2" s="3" t="s">
        <v>73</v>
      </c>
      <c r="AU2" s="42" t="s">
        <v>90</v>
      </c>
      <c r="AV2">
        <v>3475</v>
      </c>
      <c r="AW2" t="s">
        <v>110</v>
      </c>
    </row>
    <row r="3" spans="1:49" ht="12.75">
      <c r="A3" s="2" t="s">
        <v>1</v>
      </c>
      <c r="B3" s="5" t="str">
        <f>Prod4_name</f>
        <v>Prod4</v>
      </c>
      <c r="D3" s="2" t="s">
        <v>48</v>
      </c>
      <c r="E3" s="5" t="s">
        <v>54</v>
      </c>
      <c r="AI3" s="2" t="s">
        <v>14</v>
      </c>
      <c r="AJ3" s="16" t="s">
        <v>78</v>
      </c>
      <c r="AK3" s="2" t="s">
        <v>74</v>
      </c>
      <c r="AL3" s="5" t="s">
        <v>76</v>
      </c>
      <c r="AM3" s="2" t="s">
        <v>77</v>
      </c>
      <c r="AN3" s="40" t="b">
        <f>E_Prod4_OpFeasValue=0</f>
        <v>1</v>
      </c>
      <c r="AU3" s="42" t="s">
        <v>91</v>
      </c>
      <c r="AV3">
        <v>24</v>
      </c>
      <c r="AW3" t="s">
        <v>92</v>
      </c>
    </row>
    <row r="4" spans="1:52" ht="12.75">
      <c r="A4" s="2" t="s">
        <v>3</v>
      </c>
      <c r="B4" s="5">
        <f>Prod4_number</f>
        <v>10</v>
      </c>
      <c r="D4" s="2" t="s">
        <v>49</v>
      </c>
      <c r="E4" s="5" t="s">
        <v>55</v>
      </c>
      <c r="P4" s="15" t="s">
        <v>64</v>
      </c>
      <c r="U4" s="15" t="s">
        <v>65</v>
      </c>
      <c r="AI4" s="2" t="s">
        <v>79</v>
      </c>
      <c r="AJ4" s="16" t="s">
        <v>109</v>
      </c>
      <c r="AK4" s="2" t="s">
        <v>75</v>
      </c>
      <c r="AL4" s="44">
        <f>$B$8</f>
        <v>3475</v>
      </c>
      <c r="AM4" s="2" t="s">
        <v>75</v>
      </c>
      <c r="AN4" s="40">
        <f>COUNTIF(E_Prod4_OpValue,"=0")</f>
        <v>0</v>
      </c>
      <c r="AU4" s="42" t="s">
        <v>93</v>
      </c>
      <c r="AV4">
        <v>381</v>
      </c>
      <c r="AW4" s="2" t="s">
        <v>94</v>
      </c>
      <c r="AX4">
        <v>2</v>
      </c>
      <c r="AY4" s="2" t="s">
        <v>95</v>
      </c>
      <c r="AZ4">
        <v>379</v>
      </c>
    </row>
    <row r="5" spans="1:48" ht="12.75">
      <c r="A5" s="2" t="s">
        <v>44</v>
      </c>
      <c r="B5" s="5">
        <f>Prod4_length</f>
        <v>11</v>
      </c>
      <c r="D5" s="2" t="s">
        <v>50</v>
      </c>
      <c r="E5" s="5" t="s">
        <v>56</v>
      </c>
      <c r="AI5" s="2" t="s">
        <v>80</v>
      </c>
      <c r="AJ5" s="16" t="s">
        <v>81</v>
      </c>
      <c r="AK5" t="s">
        <v>82</v>
      </c>
      <c r="AL5" s="45" t="s">
        <v>83</v>
      </c>
      <c r="AU5" s="42" t="s">
        <v>96</v>
      </c>
      <c r="AV5" s="47">
        <v>1</v>
      </c>
    </row>
    <row r="6" spans="1:48" ht="12.75">
      <c r="A6" s="2" t="s">
        <v>45</v>
      </c>
      <c r="B6" s="5">
        <f>Prod4_width</f>
        <v>15</v>
      </c>
      <c r="D6" s="2" t="s">
        <v>51</v>
      </c>
      <c r="E6" s="5" t="s">
        <v>57</v>
      </c>
      <c r="K6" s="15" t="s">
        <v>66</v>
      </c>
      <c r="P6" s="15" t="s">
        <v>67</v>
      </c>
      <c r="U6" s="15" t="s">
        <v>68</v>
      </c>
      <c r="AI6" s="2" t="s">
        <v>84</v>
      </c>
      <c r="AJ6" s="3">
        <v>1</v>
      </c>
      <c r="AK6" s="3">
        <v>2</v>
      </c>
      <c r="AL6" s="3">
        <v>3</v>
      </c>
      <c r="AM6" s="3">
        <v>4</v>
      </c>
      <c r="AN6" s="3">
        <v>5</v>
      </c>
      <c r="AO6" s="3">
        <v>6</v>
      </c>
      <c r="AP6" s="3">
        <v>7</v>
      </c>
      <c r="AQ6" s="3">
        <v>8</v>
      </c>
      <c r="AR6" s="3">
        <v>9</v>
      </c>
      <c r="AS6" s="3">
        <v>10</v>
      </c>
      <c r="AU6" s="42" t="s">
        <v>97</v>
      </c>
      <c r="AV6">
        <v>100</v>
      </c>
    </row>
    <row r="7" spans="1:45" ht="12.75">
      <c r="A7" s="2" t="s">
        <v>46</v>
      </c>
      <c r="B7" s="5">
        <f>Prod4_parea</f>
        <v>165</v>
      </c>
      <c r="D7" s="2" t="s">
        <v>52</v>
      </c>
      <c r="E7" s="5">
        <v>3</v>
      </c>
      <c r="AI7" s="2" t="s">
        <v>14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</row>
    <row r="8" spans="1:48" ht="12.75">
      <c r="A8" s="2" t="s">
        <v>47</v>
      </c>
      <c r="B8" s="17">
        <v>3475</v>
      </c>
      <c r="D8" s="2" t="s">
        <v>53</v>
      </c>
      <c r="E8" s="5">
        <v>5</v>
      </c>
      <c r="K8" s="15" t="s">
        <v>69</v>
      </c>
      <c r="P8" s="15" t="s">
        <v>70</v>
      </c>
      <c r="U8" s="15" t="s">
        <v>71</v>
      </c>
      <c r="AA8" s="2" t="s">
        <v>125</v>
      </c>
      <c r="AB8" s="52">
        <v>3475</v>
      </c>
      <c r="AI8" s="2" t="s">
        <v>85</v>
      </c>
      <c r="AJ8" s="41">
        <v>2</v>
      </c>
      <c r="AK8" s="41">
        <v>7</v>
      </c>
      <c r="AL8" s="41">
        <v>4</v>
      </c>
      <c r="AM8" s="41">
        <v>10</v>
      </c>
      <c r="AN8" s="41">
        <v>8</v>
      </c>
      <c r="AO8" s="41">
        <v>5</v>
      </c>
      <c r="AP8" s="41">
        <v>6</v>
      </c>
      <c r="AQ8" s="41">
        <v>3</v>
      </c>
      <c r="AR8" s="41">
        <v>9</v>
      </c>
      <c r="AS8" s="41">
        <v>1</v>
      </c>
      <c r="AV8" s="46" t="s">
        <v>87</v>
      </c>
    </row>
    <row r="9" spans="9:59" ht="12.75">
      <c r="I9">
        <v>3475</v>
      </c>
      <c r="J9" t="s">
        <v>133</v>
      </c>
      <c r="AD9" s="2" t="s">
        <v>132</v>
      </c>
      <c r="AE9">
        <v>0</v>
      </c>
      <c r="AV9" s="3" t="s">
        <v>88</v>
      </c>
      <c r="AW9" s="3" t="s">
        <v>99</v>
      </c>
      <c r="AX9" s="3" t="s">
        <v>100</v>
      </c>
      <c r="AY9" s="3" t="s">
        <v>101</v>
      </c>
      <c r="AZ9" s="3" t="s">
        <v>102</v>
      </c>
      <c r="BA9" s="3" t="s">
        <v>103</v>
      </c>
      <c r="BB9" s="3" t="s">
        <v>104</v>
      </c>
      <c r="BC9" s="3" t="s">
        <v>105</v>
      </c>
      <c r="BD9" s="3" t="s">
        <v>106</v>
      </c>
      <c r="BE9" s="3" t="s">
        <v>107</v>
      </c>
      <c r="BF9" s="3" t="s">
        <v>108</v>
      </c>
      <c r="BG9" s="3" t="s">
        <v>89</v>
      </c>
    </row>
    <row r="10" spans="1:59" ht="12.75">
      <c r="A10" s="3" t="s">
        <v>58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54</v>
      </c>
      <c r="J10">
        <v>1</v>
      </c>
      <c r="K10">
        <v>2</v>
      </c>
      <c r="L10">
        <v>3</v>
      </c>
      <c r="M10">
        <v>4</v>
      </c>
      <c r="N10">
        <v>5</v>
      </c>
      <c r="O10">
        <v>6</v>
      </c>
      <c r="P10">
        <v>7</v>
      </c>
      <c r="Q10">
        <v>8</v>
      </c>
      <c r="R10">
        <v>9</v>
      </c>
      <c r="S10">
        <v>10</v>
      </c>
      <c r="T10">
        <v>11</v>
      </c>
      <c r="U10">
        <v>12</v>
      </c>
      <c r="V10">
        <v>13</v>
      </c>
      <c r="W10">
        <v>14</v>
      </c>
      <c r="X10">
        <v>15</v>
      </c>
      <c r="AA10" s="51" t="s">
        <v>126</v>
      </c>
      <c r="AB10" s="51" t="s">
        <v>127</v>
      </c>
      <c r="AD10" t="s">
        <v>128</v>
      </c>
      <c r="AE10" t="s">
        <v>129</v>
      </c>
      <c r="AF10" t="s">
        <v>130</v>
      </c>
      <c r="AG10" t="s">
        <v>131</v>
      </c>
      <c r="AI10" s="2" t="s">
        <v>86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V10" s="48">
        <v>60</v>
      </c>
      <c r="AW10" s="48">
        <v>2</v>
      </c>
      <c r="AX10" s="48">
        <v>7</v>
      </c>
      <c r="AY10" s="48">
        <v>4</v>
      </c>
      <c r="AZ10" s="48">
        <v>10</v>
      </c>
      <c r="BA10" s="48">
        <v>8</v>
      </c>
      <c r="BB10" s="48">
        <v>5</v>
      </c>
      <c r="BC10" s="48">
        <v>6</v>
      </c>
      <c r="BD10" s="48">
        <v>3</v>
      </c>
      <c r="BE10" s="48">
        <v>9</v>
      </c>
      <c r="BF10" s="48">
        <v>1</v>
      </c>
      <c r="BG10" s="48">
        <v>3475</v>
      </c>
    </row>
    <row r="11" spans="1:59" ht="25.5" customHeight="1">
      <c r="A11" s="4" t="str">
        <f>INDEX(Prod4_depts,1,1)</f>
        <v>D 1</v>
      </c>
      <c r="B11" s="18">
        <v>1</v>
      </c>
      <c r="C11" s="4">
        <f>INDEX(Prod4_darea,1,1)</f>
        <v>5</v>
      </c>
      <c r="D11" s="28">
        <v>5</v>
      </c>
      <c r="E11" s="28">
        <v>2.5</v>
      </c>
      <c r="F11" s="28">
        <v>6.5</v>
      </c>
      <c r="G11" s="28">
        <f>$AJ$8</f>
        <v>2</v>
      </c>
      <c r="I11">
        <v>1</v>
      </c>
      <c r="J11" s="39">
        <v>10</v>
      </c>
      <c r="K11" s="39">
        <v>10</v>
      </c>
      <c r="L11" s="39">
        <v>10</v>
      </c>
      <c r="M11" s="39">
        <v>10</v>
      </c>
      <c r="N11" s="39">
        <v>10</v>
      </c>
      <c r="O11" s="34">
        <v>5</v>
      </c>
      <c r="P11" s="34">
        <v>5</v>
      </c>
      <c r="Q11" s="34">
        <v>5</v>
      </c>
      <c r="R11" s="34">
        <v>5</v>
      </c>
      <c r="S11" s="34">
        <v>5</v>
      </c>
      <c r="T11" s="38">
        <v>9</v>
      </c>
      <c r="U11" s="38">
        <v>9</v>
      </c>
      <c r="V11" s="38">
        <v>9</v>
      </c>
      <c r="W11" s="38">
        <v>9</v>
      </c>
      <c r="X11" s="38">
        <v>9</v>
      </c>
      <c r="AA11" s="3">
        <v>1</v>
      </c>
      <c r="AB11" s="28">
        <v>2</v>
      </c>
      <c r="AV11" s="48">
        <v>381</v>
      </c>
      <c r="AW11" s="48">
        <v>2</v>
      </c>
      <c r="AX11" s="48">
        <v>7</v>
      </c>
      <c r="AY11" s="48">
        <v>4</v>
      </c>
      <c r="AZ11" s="48">
        <v>10</v>
      </c>
      <c r="BA11" s="48">
        <v>8</v>
      </c>
      <c r="BB11" s="48">
        <v>5</v>
      </c>
      <c r="BC11" s="48">
        <v>6</v>
      </c>
      <c r="BD11" s="48">
        <v>3</v>
      </c>
      <c r="BE11" s="48">
        <v>9</v>
      </c>
      <c r="BF11" s="48">
        <v>1</v>
      </c>
      <c r="BG11" s="48">
        <v>3475</v>
      </c>
    </row>
    <row r="12" spans="1:59" ht="25.5" customHeight="1">
      <c r="A12" s="4" t="str">
        <f>INDEX(Prod4_depts,2,1)</f>
        <v>D 2</v>
      </c>
      <c r="B12" s="19">
        <v>2</v>
      </c>
      <c r="C12" s="4">
        <f>INDEX(Prod4_darea,2,1)</f>
        <v>10</v>
      </c>
      <c r="D12" s="28">
        <v>10</v>
      </c>
      <c r="E12" s="28">
        <v>7.5</v>
      </c>
      <c r="F12" s="28">
        <v>5</v>
      </c>
      <c r="G12" s="28">
        <f>$AK$8</f>
        <v>7</v>
      </c>
      <c r="I12">
        <v>2</v>
      </c>
      <c r="J12" s="39">
        <v>10</v>
      </c>
      <c r="K12" s="39">
        <v>10</v>
      </c>
      <c r="L12" s="39">
        <v>10</v>
      </c>
      <c r="M12" s="39">
        <v>10</v>
      </c>
      <c r="N12" s="39">
        <v>10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8">
        <v>9</v>
      </c>
      <c r="U12" s="38">
        <v>9</v>
      </c>
      <c r="V12" s="38">
        <v>9</v>
      </c>
      <c r="W12" s="38">
        <v>9</v>
      </c>
      <c r="X12" s="38">
        <v>9</v>
      </c>
      <c r="AA12" s="3">
        <v>2</v>
      </c>
      <c r="AB12" s="28">
        <v>7</v>
      </c>
      <c r="AJ12" s="41">
        <v>2</v>
      </c>
      <c r="AK12" s="41">
        <v>7</v>
      </c>
      <c r="AL12" s="41">
        <v>4</v>
      </c>
      <c r="AM12" s="41">
        <v>10</v>
      </c>
      <c r="AN12" s="41">
        <v>8</v>
      </c>
      <c r="AO12" s="41">
        <v>5</v>
      </c>
      <c r="AP12" s="41">
        <v>6</v>
      </c>
      <c r="AQ12" s="41">
        <v>3</v>
      </c>
      <c r="AR12" s="41">
        <v>9</v>
      </c>
      <c r="AS12" s="41">
        <v>1</v>
      </c>
      <c r="AV12" s="48">
        <v>35</v>
      </c>
      <c r="AW12" s="48">
        <v>2</v>
      </c>
      <c r="AX12" s="48">
        <v>8</v>
      </c>
      <c r="AY12" s="48">
        <v>4</v>
      </c>
      <c r="AZ12" s="48">
        <v>10</v>
      </c>
      <c r="BA12" s="48">
        <v>7</v>
      </c>
      <c r="BB12" s="48">
        <v>5</v>
      </c>
      <c r="BC12" s="48">
        <v>6</v>
      </c>
      <c r="BD12" s="48">
        <v>3</v>
      </c>
      <c r="BE12" s="48">
        <v>9</v>
      </c>
      <c r="BF12" s="48">
        <v>1</v>
      </c>
      <c r="BG12" s="48">
        <v>3615</v>
      </c>
    </row>
    <row r="13" spans="1:59" ht="25.5" customHeight="1">
      <c r="A13" s="4" t="str">
        <f>INDEX(Prod4_depts,3,1)</f>
        <v>D 3</v>
      </c>
      <c r="B13" s="20">
        <v>3</v>
      </c>
      <c r="C13" s="4">
        <f>INDEX(Prod4_darea,3,1)</f>
        <v>20</v>
      </c>
      <c r="D13" s="28">
        <v>20</v>
      </c>
      <c r="E13" s="28">
        <v>5</v>
      </c>
      <c r="F13" s="28">
        <v>10</v>
      </c>
      <c r="G13" s="28">
        <f>$AL$8</f>
        <v>4</v>
      </c>
      <c r="I13">
        <v>3</v>
      </c>
      <c r="J13" s="39">
        <v>10</v>
      </c>
      <c r="K13" s="39">
        <v>10</v>
      </c>
      <c r="L13" s="39">
        <v>10</v>
      </c>
      <c r="M13" s="39">
        <v>10</v>
      </c>
      <c r="N13" s="39">
        <v>10</v>
      </c>
      <c r="O13" s="34">
        <v>5</v>
      </c>
      <c r="P13" s="34">
        <v>5</v>
      </c>
      <c r="Q13" s="34">
        <v>5</v>
      </c>
      <c r="R13" s="34">
        <v>5</v>
      </c>
      <c r="S13" s="34">
        <v>5</v>
      </c>
      <c r="T13" s="38">
        <v>9</v>
      </c>
      <c r="U13" s="38">
        <v>9</v>
      </c>
      <c r="V13" s="38">
        <v>9</v>
      </c>
      <c r="W13" s="38">
        <v>9</v>
      </c>
      <c r="X13" s="38">
        <v>9</v>
      </c>
      <c r="AA13" s="3">
        <v>3</v>
      </c>
      <c r="AB13" s="28">
        <v>4</v>
      </c>
      <c r="AV13" s="48">
        <v>23</v>
      </c>
      <c r="AW13" s="48">
        <v>2</v>
      </c>
      <c r="AX13" s="48">
        <v>8</v>
      </c>
      <c r="AY13" s="48">
        <v>4</v>
      </c>
      <c r="AZ13" s="48">
        <v>10</v>
      </c>
      <c r="BA13" s="48">
        <v>3</v>
      </c>
      <c r="BB13" s="48">
        <v>5</v>
      </c>
      <c r="BC13" s="48">
        <v>6</v>
      </c>
      <c r="BD13" s="48">
        <v>7</v>
      </c>
      <c r="BE13" s="48">
        <v>9</v>
      </c>
      <c r="BF13" s="48">
        <v>1</v>
      </c>
      <c r="BG13" s="48">
        <v>3626.5</v>
      </c>
    </row>
    <row r="14" spans="1:59" ht="25.5" customHeight="1">
      <c r="A14" s="4" t="str">
        <f>INDEX(Prod4_depts,4,1)</f>
        <v>D 4</v>
      </c>
      <c r="B14" s="21">
        <v>4</v>
      </c>
      <c r="C14" s="4">
        <f>INDEX(Prod4_darea,4,1)</f>
        <v>30</v>
      </c>
      <c r="D14" s="28">
        <v>30</v>
      </c>
      <c r="E14" s="28">
        <v>12.5</v>
      </c>
      <c r="F14" s="28">
        <v>7</v>
      </c>
      <c r="G14" s="28">
        <f>$AM$8</f>
        <v>10</v>
      </c>
      <c r="I14">
        <v>4</v>
      </c>
      <c r="J14" s="39">
        <v>10</v>
      </c>
      <c r="K14" s="39">
        <v>10</v>
      </c>
      <c r="L14" s="39">
        <v>10</v>
      </c>
      <c r="M14" s="39">
        <v>10</v>
      </c>
      <c r="N14" s="39">
        <v>10</v>
      </c>
      <c r="O14" s="34">
        <v>5</v>
      </c>
      <c r="P14" s="34">
        <v>5</v>
      </c>
      <c r="Q14" s="34">
        <v>5</v>
      </c>
      <c r="R14" s="34">
        <v>5</v>
      </c>
      <c r="S14" s="34">
        <v>5</v>
      </c>
      <c r="T14" s="38">
        <v>9</v>
      </c>
      <c r="U14" s="38">
        <v>9</v>
      </c>
      <c r="V14" s="38">
        <v>9</v>
      </c>
      <c r="W14" s="38">
        <v>9</v>
      </c>
      <c r="X14" s="38">
        <v>9</v>
      </c>
      <c r="AA14" s="3">
        <v>4</v>
      </c>
      <c r="AB14" s="28">
        <v>10</v>
      </c>
      <c r="AV14" s="48">
        <v>22</v>
      </c>
      <c r="AW14" s="48">
        <v>2</v>
      </c>
      <c r="AX14" s="48">
        <v>8</v>
      </c>
      <c r="AY14" s="48">
        <v>6</v>
      </c>
      <c r="AZ14" s="48">
        <v>10</v>
      </c>
      <c r="BA14" s="48">
        <v>3</v>
      </c>
      <c r="BB14" s="48">
        <v>5</v>
      </c>
      <c r="BC14" s="48">
        <v>4</v>
      </c>
      <c r="BD14" s="48">
        <v>7</v>
      </c>
      <c r="BE14" s="48">
        <v>9</v>
      </c>
      <c r="BF14" s="48">
        <v>1</v>
      </c>
      <c r="BG14" s="48">
        <v>3858.5</v>
      </c>
    </row>
    <row r="15" spans="1:59" ht="25.5" customHeight="1">
      <c r="A15" s="4" t="str">
        <f>INDEX(Prod4_depts,5,1)</f>
        <v>D 5</v>
      </c>
      <c r="B15" s="22">
        <v>5</v>
      </c>
      <c r="C15" s="4">
        <f>INDEX(Prod4_darea,5,1)</f>
        <v>20</v>
      </c>
      <c r="D15" s="28">
        <v>20</v>
      </c>
      <c r="E15" s="28">
        <v>7.5</v>
      </c>
      <c r="F15" s="28">
        <v>2</v>
      </c>
      <c r="G15" s="28">
        <f>$AN$8</f>
        <v>8</v>
      </c>
      <c r="I15">
        <v>5</v>
      </c>
      <c r="J15" s="39">
        <v>10</v>
      </c>
      <c r="K15" s="39">
        <v>10</v>
      </c>
      <c r="L15" s="39">
        <v>10</v>
      </c>
      <c r="M15" s="39">
        <v>10</v>
      </c>
      <c r="N15" s="39">
        <v>10</v>
      </c>
      <c r="O15" s="31">
        <v>2</v>
      </c>
      <c r="P15" s="31">
        <v>2</v>
      </c>
      <c r="Q15" s="31">
        <v>2</v>
      </c>
      <c r="R15" s="31">
        <v>2</v>
      </c>
      <c r="S15" s="31">
        <v>2</v>
      </c>
      <c r="T15" s="33">
        <v>4</v>
      </c>
      <c r="U15" s="33">
        <v>4</v>
      </c>
      <c r="V15" s="33">
        <v>4</v>
      </c>
      <c r="W15" s="33">
        <v>4</v>
      </c>
      <c r="X15" s="33">
        <v>4</v>
      </c>
      <c r="AA15" s="3">
        <v>5</v>
      </c>
      <c r="AB15" s="28">
        <v>8</v>
      </c>
      <c r="AV15" s="48">
        <v>15</v>
      </c>
      <c r="AW15" s="48">
        <v>2</v>
      </c>
      <c r="AX15" s="48">
        <v>8</v>
      </c>
      <c r="AY15" s="48">
        <v>5</v>
      </c>
      <c r="AZ15" s="48">
        <v>10</v>
      </c>
      <c r="BA15" s="48">
        <v>3</v>
      </c>
      <c r="BB15" s="48">
        <v>6</v>
      </c>
      <c r="BC15" s="48">
        <v>4</v>
      </c>
      <c r="BD15" s="48">
        <v>7</v>
      </c>
      <c r="BE15" s="48">
        <v>9</v>
      </c>
      <c r="BF15" s="48">
        <v>1</v>
      </c>
      <c r="BG15" s="48">
        <v>3861.5</v>
      </c>
    </row>
    <row r="16" spans="1:59" ht="25.5" customHeight="1">
      <c r="A16" s="4" t="str">
        <f>INDEX(Prod4_depts,6,1)</f>
        <v>D 6</v>
      </c>
      <c r="B16" s="23">
        <v>6</v>
      </c>
      <c r="C16" s="4">
        <f>INDEX(Prod4_darea,6,1)</f>
        <v>10</v>
      </c>
      <c r="D16" s="28">
        <v>10</v>
      </c>
      <c r="E16" s="28">
        <v>7.5</v>
      </c>
      <c r="F16" s="28">
        <v>8</v>
      </c>
      <c r="G16" s="28">
        <f>$AO$8</f>
        <v>5</v>
      </c>
      <c r="I16">
        <v>6</v>
      </c>
      <c r="J16" s="39">
        <v>10</v>
      </c>
      <c r="K16" s="39">
        <v>10</v>
      </c>
      <c r="L16" s="39">
        <v>10</v>
      </c>
      <c r="M16" s="39">
        <v>10</v>
      </c>
      <c r="N16" s="39">
        <v>10</v>
      </c>
      <c r="O16" s="31">
        <v>2</v>
      </c>
      <c r="P16" s="31">
        <v>2</v>
      </c>
      <c r="Q16" s="31">
        <v>2</v>
      </c>
      <c r="R16" s="31">
        <v>2</v>
      </c>
      <c r="S16" s="31">
        <v>2</v>
      </c>
      <c r="T16" s="33">
        <v>4</v>
      </c>
      <c r="U16" s="33">
        <v>4</v>
      </c>
      <c r="V16" s="33">
        <v>4</v>
      </c>
      <c r="W16" s="33">
        <v>4</v>
      </c>
      <c r="X16" s="33">
        <v>4</v>
      </c>
      <c r="AA16" s="3">
        <v>6</v>
      </c>
      <c r="AB16" s="28">
        <v>5</v>
      </c>
      <c r="AV16" s="48">
        <v>12</v>
      </c>
      <c r="AW16" s="48">
        <v>2</v>
      </c>
      <c r="AX16" s="48">
        <v>6</v>
      </c>
      <c r="AY16" s="48">
        <v>5</v>
      </c>
      <c r="AZ16" s="48">
        <v>10</v>
      </c>
      <c r="BA16" s="48">
        <v>3</v>
      </c>
      <c r="BB16" s="48">
        <v>8</v>
      </c>
      <c r="BC16" s="48">
        <v>4</v>
      </c>
      <c r="BD16" s="48">
        <v>7</v>
      </c>
      <c r="BE16" s="48">
        <v>9</v>
      </c>
      <c r="BF16" s="48">
        <v>1</v>
      </c>
      <c r="BG16" s="48">
        <v>3959.5</v>
      </c>
    </row>
    <row r="17" spans="1:59" ht="25.5" customHeight="1">
      <c r="A17" s="4" t="str">
        <f>INDEX(Prod4_depts,7,1)</f>
        <v>D 7</v>
      </c>
      <c r="B17" s="24">
        <v>7</v>
      </c>
      <c r="C17" s="4">
        <f>INDEX(Prod4_darea,7,1)</f>
        <v>5</v>
      </c>
      <c r="D17" s="28">
        <v>5</v>
      </c>
      <c r="E17" s="28">
        <v>7.5</v>
      </c>
      <c r="F17" s="28">
        <v>6.5</v>
      </c>
      <c r="G17" s="28">
        <f>$AP$8</f>
        <v>6</v>
      </c>
      <c r="I17">
        <v>7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6">
        <v>7</v>
      </c>
      <c r="P17" s="36">
        <v>7</v>
      </c>
      <c r="Q17" s="36">
        <v>7</v>
      </c>
      <c r="R17" s="36">
        <v>7</v>
      </c>
      <c r="S17" s="36">
        <v>7</v>
      </c>
      <c r="T17" s="33">
        <v>4</v>
      </c>
      <c r="U17" s="33">
        <v>4</v>
      </c>
      <c r="V17" s="33">
        <v>4</v>
      </c>
      <c r="W17" s="33">
        <v>4</v>
      </c>
      <c r="X17" s="33">
        <v>4</v>
      </c>
      <c r="AA17" s="3">
        <v>7</v>
      </c>
      <c r="AB17" s="28">
        <v>6</v>
      </c>
      <c r="AV17" s="48">
        <v>10</v>
      </c>
      <c r="AW17" s="48">
        <v>2</v>
      </c>
      <c r="AX17" s="48">
        <v>5</v>
      </c>
      <c r="AY17" s="48">
        <v>6</v>
      </c>
      <c r="AZ17" s="48">
        <v>10</v>
      </c>
      <c r="BA17" s="48">
        <v>3</v>
      </c>
      <c r="BB17" s="48">
        <v>8</v>
      </c>
      <c r="BC17" s="48">
        <v>4</v>
      </c>
      <c r="BD17" s="48">
        <v>7</v>
      </c>
      <c r="BE17" s="48">
        <v>9</v>
      </c>
      <c r="BF17" s="48">
        <v>1</v>
      </c>
      <c r="BG17" s="48">
        <v>4016.5</v>
      </c>
    </row>
    <row r="18" spans="1:59" ht="25.5" customHeight="1">
      <c r="A18" s="4" t="str">
        <f>INDEX(Prod4_depts,8,1)</f>
        <v>D 8</v>
      </c>
      <c r="B18" s="25">
        <v>8</v>
      </c>
      <c r="C18" s="4">
        <f>INDEX(Prod4_darea,8,1)</f>
        <v>10</v>
      </c>
      <c r="D18" s="28">
        <v>10</v>
      </c>
      <c r="E18" s="28">
        <v>2.5</v>
      </c>
      <c r="F18" s="28">
        <v>8</v>
      </c>
      <c r="G18" s="28">
        <f>$AQ$8</f>
        <v>3</v>
      </c>
      <c r="I18">
        <v>8</v>
      </c>
      <c r="J18" s="37">
        <v>8</v>
      </c>
      <c r="K18" s="37">
        <v>8</v>
      </c>
      <c r="L18" s="37">
        <v>8</v>
      </c>
      <c r="M18" s="37">
        <v>8</v>
      </c>
      <c r="N18" s="37">
        <v>8</v>
      </c>
      <c r="O18" s="35">
        <v>6</v>
      </c>
      <c r="P18" s="35">
        <v>6</v>
      </c>
      <c r="Q18" s="35">
        <v>6</v>
      </c>
      <c r="R18" s="35">
        <v>6</v>
      </c>
      <c r="S18" s="35">
        <v>6</v>
      </c>
      <c r="T18" s="33">
        <v>4</v>
      </c>
      <c r="U18" s="33">
        <v>4</v>
      </c>
      <c r="V18" s="33">
        <v>4</v>
      </c>
      <c r="W18" s="33">
        <v>4</v>
      </c>
      <c r="X18" s="33">
        <v>4</v>
      </c>
      <c r="AA18" s="3">
        <v>8</v>
      </c>
      <c r="AB18" s="28">
        <v>3</v>
      </c>
      <c r="AV18" s="48">
        <v>8</v>
      </c>
      <c r="AW18" s="48">
        <v>9</v>
      </c>
      <c r="AX18" s="48">
        <v>5</v>
      </c>
      <c r="AY18" s="48">
        <v>6</v>
      </c>
      <c r="AZ18" s="48">
        <v>10</v>
      </c>
      <c r="BA18" s="48">
        <v>3</v>
      </c>
      <c r="BB18" s="48">
        <v>8</v>
      </c>
      <c r="BC18" s="48">
        <v>4</v>
      </c>
      <c r="BD18" s="48">
        <v>7</v>
      </c>
      <c r="BE18" s="48">
        <v>2</v>
      </c>
      <c r="BF18" s="48">
        <v>1</v>
      </c>
      <c r="BG18" s="48">
        <v>4082.5</v>
      </c>
    </row>
    <row r="19" spans="1:59" ht="25.5" customHeight="1">
      <c r="A19" s="4" t="str">
        <f>INDEX(Prod4_depts,9,1)</f>
        <v>D 9</v>
      </c>
      <c r="B19" s="26">
        <v>9</v>
      </c>
      <c r="C19" s="4">
        <f>INDEX(Prod4_darea,9,1)</f>
        <v>20</v>
      </c>
      <c r="D19" s="28">
        <v>20</v>
      </c>
      <c r="E19" s="28">
        <v>12.5</v>
      </c>
      <c r="F19" s="28">
        <v>2</v>
      </c>
      <c r="G19" s="28">
        <f>$AR$8</f>
        <v>9</v>
      </c>
      <c r="I19">
        <v>9</v>
      </c>
      <c r="J19" s="37">
        <v>8</v>
      </c>
      <c r="K19" s="37">
        <v>8</v>
      </c>
      <c r="L19" s="37">
        <v>8</v>
      </c>
      <c r="M19" s="37">
        <v>8</v>
      </c>
      <c r="N19" s="37">
        <v>8</v>
      </c>
      <c r="O19" s="35">
        <v>6</v>
      </c>
      <c r="P19" s="35">
        <v>6</v>
      </c>
      <c r="Q19" s="35">
        <v>6</v>
      </c>
      <c r="R19" s="35">
        <v>6</v>
      </c>
      <c r="S19" s="35">
        <v>6</v>
      </c>
      <c r="T19" s="33">
        <v>4</v>
      </c>
      <c r="U19" s="33">
        <v>4</v>
      </c>
      <c r="V19" s="33">
        <v>4</v>
      </c>
      <c r="W19" s="33">
        <v>4</v>
      </c>
      <c r="X19" s="33">
        <v>4</v>
      </c>
      <c r="AA19" s="3">
        <v>9</v>
      </c>
      <c r="AB19" s="28">
        <v>9</v>
      </c>
      <c r="AV19" s="48">
        <v>4</v>
      </c>
      <c r="AW19" s="48">
        <v>4</v>
      </c>
      <c r="AX19" s="48">
        <v>5</v>
      </c>
      <c r="AY19" s="48">
        <v>6</v>
      </c>
      <c r="AZ19" s="48">
        <v>10</v>
      </c>
      <c r="BA19" s="48">
        <v>3</v>
      </c>
      <c r="BB19" s="48">
        <v>8</v>
      </c>
      <c r="BC19" s="48">
        <v>9</v>
      </c>
      <c r="BD19" s="48">
        <v>7</v>
      </c>
      <c r="BE19" s="48">
        <v>2</v>
      </c>
      <c r="BF19" s="48">
        <v>1</v>
      </c>
      <c r="BG19" s="48">
        <v>4121.5</v>
      </c>
    </row>
    <row r="20" spans="1:59" ht="25.5" customHeight="1">
      <c r="A20" s="4" t="str">
        <f>INDEX(Prod4_depts,10,1)</f>
        <v>D 10</v>
      </c>
      <c r="B20" s="27">
        <v>10</v>
      </c>
      <c r="C20" s="4">
        <f>INDEX(Prod4_darea,10,1)</f>
        <v>30</v>
      </c>
      <c r="D20" s="28">
        <v>30</v>
      </c>
      <c r="E20" s="28">
        <v>2.5</v>
      </c>
      <c r="F20" s="28">
        <v>3</v>
      </c>
      <c r="G20" s="28">
        <f>$AS$8</f>
        <v>1</v>
      </c>
      <c r="I20">
        <v>10</v>
      </c>
      <c r="J20" s="32">
        <v>3</v>
      </c>
      <c r="K20" s="32">
        <v>3</v>
      </c>
      <c r="L20" s="32">
        <v>3</v>
      </c>
      <c r="M20" s="32">
        <v>3</v>
      </c>
      <c r="N20" s="32">
        <v>3</v>
      </c>
      <c r="O20" s="32">
        <v>3</v>
      </c>
      <c r="P20" s="32">
        <v>3</v>
      </c>
      <c r="Q20" s="32">
        <v>3</v>
      </c>
      <c r="R20" s="32">
        <v>3</v>
      </c>
      <c r="S20" s="32">
        <v>3</v>
      </c>
      <c r="T20" s="33">
        <v>4</v>
      </c>
      <c r="U20" s="33">
        <v>4</v>
      </c>
      <c r="V20" s="33">
        <v>4</v>
      </c>
      <c r="W20" s="33">
        <v>4</v>
      </c>
      <c r="X20" s="33">
        <v>4</v>
      </c>
      <c r="AA20" s="3">
        <v>10</v>
      </c>
      <c r="AB20" s="28">
        <v>1</v>
      </c>
      <c r="AV20" s="48">
        <v>3</v>
      </c>
      <c r="AW20" s="48">
        <v>6</v>
      </c>
      <c r="AX20" s="48">
        <v>5</v>
      </c>
      <c r="AY20" s="48">
        <v>4</v>
      </c>
      <c r="AZ20" s="48">
        <v>10</v>
      </c>
      <c r="BA20" s="48">
        <v>3</v>
      </c>
      <c r="BB20" s="48">
        <v>8</v>
      </c>
      <c r="BC20" s="48">
        <v>9</v>
      </c>
      <c r="BD20" s="48">
        <v>7</v>
      </c>
      <c r="BE20" s="48">
        <v>2</v>
      </c>
      <c r="BF20" s="48">
        <v>1</v>
      </c>
      <c r="BG20" s="48">
        <v>4194.5</v>
      </c>
    </row>
    <row r="21" spans="9:59" ht="25.5" customHeight="1">
      <c r="I21">
        <v>11</v>
      </c>
      <c r="J21" s="32">
        <v>3</v>
      </c>
      <c r="K21" s="32">
        <v>3</v>
      </c>
      <c r="L21" s="32">
        <v>3</v>
      </c>
      <c r="M21" s="32">
        <v>3</v>
      </c>
      <c r="N21" s="32">
        <v>3</v>
      </c>
      <c r="O21" s="32">
        <v>3</v>
      </c>
      <c r="P21" s="32">
        <v>3</v>
      </c>
      <c r="Q21" s="32">
        <v>3</v>
      </c>
      <c r="R21" s="32">
        <v>3</v>
      </c>
      <c r="S21" s="32">
        <v>3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AV21" s="48">
        <v>1</v>
      </c>
      <c r="AW21" s="48">
        <v>5</v>
      </c>
      <c r="AX21" s="48">
        <v>6</v>
      </c>
      <c r="AY21" s="48">
        <v>4</v>
      </c>
      <c r="AZ21" s="48">
        <v>10</v>
      </c>
      <c r="BA21" s="48">
        <v>3</v>
      </c>
      <c r="BB21" s="48">
        <v>8</v>
      </c>
      <c r="BC21" s="48">
        <v>9</v>
      </c>
      <c r="BD21" s="48">
        <v>7</v>
      </c>
      <c r="BE21" s="48">
        <v>2</v>
      </c>
      <c r="BF21" s="48">
        <v>1</v>
      </c>
      <c r="BG21" s="48">
        <v>4211.5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7.00390625" style="0" bestFit="1" customWidth="1"/>
    <col min="2" max="16384" width="6.75390625" style="0" customWidth="1"/>
  </cols>
  <sheetData>
    <row r="1" ht="22.5">
      <c r="A1" s="1" t="s">
        <v>0</v>
      </c>
    </row>
    <row r="2" spans="1:2" ht="12.75">
      <c r="A2" s="2" t="s">
        <v>1</v>
      </c>
      <c r="B2" s="5" t="s">
        <v>111</v>
      </c>
    </row>
    <row r="3" spans="1:5" ht="12.75">
      <c r="A3" s="2" t="s">
        <v>3</v>
      </c>
      <c r="B3" s="5">
        <v>10</v>
      </c>
      <c r="E3" s="15" t="s">
        <v>42</v>
      </c>
    </row>
    <row r="4" spans="1:2" ht="12.75">
      <c r="A4" s="2" t="s">
        <v>4</v>
      </c>
      <c r="B4" s="5">
        <v>0</v>
      </c>
    </row>
    <row r="5" spans="1:2" ht="12.75">
      <c r="A5" s="2" t="s">
        <v>5</v>
      </c>
      <c r="B5" s="5" t="s">
        <v>6</v>
      </c>
    </row>
    <row r="8" ht="19.5">
      <c r="A8" s="6" t="s">
        <v>7</v>
      </c>
    </row>
    <row r="10" spans="1:3" ht="12.75">
      <c r="A10" s="2" t="s">
        <v>8</v>
      </c>
      <c r="B10" s="7">
        <v>1</v>
      </c>
      <c r="C10" s="8" t="s">
        <v>9</v>
      </c>
    </row>
    <row r="11" spans="1:3" ht="12.75">
      <c r="A11" s="2" t="s">
        <v>10</v>
      </c>
      <c r="B11" s="7">
        <v>11</v>
      </c>
      <c r="C11" s="8">
        <f>ROUNDUP(B11/Prod5_scale,0)</f>
        <v>11</v>
      </c>
    </row>
    <row r="12" spans="1:3" ht="12.75">
      <c r="A12" s="2" t="s">
        <v>11</v>
      </c>
      <c r="B12" s="7">
        <v>15</v>
      </c>
      <c r="C12" s="8">
        <f>ROUNDUP(B12/Prod5_scale,0)</f>
        <v>15</v>
      </c>
    </row>
    <row r="13" spans="1:3" ht="12.75">
      <c r="A13" s="2" t="s">
        <v>12</v>
      </c>
      <c r="B13" s="7">
        <f>B11*B12</f>
        <v>165</v>
      </c>
      <c r="C13" s="8">
        <f>C11*C12</f>
        <v>165</v>
      </c>
    </row>
    <row r="16" ht="19.5">
      <c r="A16" s="6" t="s">
        <v>13</v>
      </c>
    </row>
    <row r="17" spans="2:5" ht="12.75">
      <c r="B17" s="9" t="s">
        <v>14</v>
      </c>
      <c r="C17" s="9" t="s">
        <v>15</v>
      </c>
      <c r="D17" s="9" t="s">
        <v>16</v>
      </c>
      <c r="E17" s="9" t="s">
        <v>9</v>
      </c>
    </row>
    <row r="18" spans="1:5" ht="12.75">
      <c r="A18" s="2" t="s">
        <v>17</v>
      </c>
      <c r="B18" s="10" t="s">
        <v>27</v>
      </c>
      <c r="C18" s="11" t="s">
        <v>37</v>
      </c>
      <c r="D18" s="11">
        <v>5</v>
      </c>
      <c r="E18" s="12">
        <f>ROUNDUP(D18/(Prod5_scale)^2,0)</f>
        <v>5</v>
      </c>
    </row>
    <row r="19" spans="1:5" ht="12.75">
      <c r="A19" s="2" t="s">
        <v>18</v>
      </c>
      <c r="B19" s="10" t="s">
        <v>28</v>
      </c>
      <c r="C19" s="11" t="s">
        <v>37</v>
      </c>
      <c r="D19" s="11">
        <v>10</v>
      </c>
      <c r="E19" s="12">
        <f aca="true" t="shared" si="0" ref="E19:E27">ROUNDUP(D19/(Prod5_scale)^2,0)</f>
        <v>10</v>
      </c>
    </row>
    <row r="20" spans="1:5" ht="12.75">
      <c r="A20" s="2" t="s">
        <v>19</v>
      </c>
      <c r="B20" s="10" t="s">
        <v>29</v>
      </c>
      <c r="C20" s="11" t="s">
        <v>37</v>
      </c>
      <c r="D20" s="11">
        <v>20</v>
      </c>
      <c r="E20" s="12">
        <f t="shared" si="0"/>
        <v>20</v>
      </c>
    </row>
    <row r="21" spans="1:5" ht="12.75">
      <c r="A21" s="2" t="s">
        <v>20</v>
      </c>
      <c r="B21" s="10" t="s">
        <v>30</v>
      </c>
      <c r="C21" s="11" t="s">
        <v>37</v>
      </c>
      <c r="D21" s="11">
        <v>30</v>
      </c>
      <c r="E21" s="12">
        <f t="shared" si="0"/>
        <v>30</v>
      </c>
    </row>
    <row r="22" spans="1:5" ht="12.75">
      <c r="A22" s="2" t="s">
        <v>21</v>
      </c>
      <c r="B22" s="10" t="s">
        <v>31</v>
      </c>
      <c r="C22" s="11" t="s">
        <v>37</v>
      </c>
      <c r="D22" s="11">
        <v>20</v>
      </c>
      <c r="E22" s="12">
        <f t="shared" si="0"/>
        <v>20</v>
      </c>
    </row>
    <row r="23" spans="1:5" ht="12.75">
      <c r="A23" s="2" t="s">
        <v>22</v>
      </c>
      <c r="B23" s="10" t="s">
        <v>32</v>
      </c>
      <c r="C23" s="11" t="s">
        <v>37</v>
      </c>
      <c r="D23" s="11">
        <v>10</v>
      </c>
      <c r="E23" s="12">
        <f t="shared" si="0"/>
        <v>10</v>
      </c>
    </row>
    <row r="24" spans="1:5" ht="12.75">
      <c r="A24" s="2" t="s">
        <v>23</v>
      </c>
      <c r="B24" s="10" t="s">
        <v>33</v>
      </c>
      <c r="C24" s="11" t="s">
        <v>37</v>
      </c>
      <c r="D24" s="11">
        <v>5</v>
      </c>
      <c r="E24" s="12">
        <f t="shared" si="0"/>
        <v>5</v>
      </c>
    </row>
    <row r="25" spans="1:5" ht="12.75">
      <c r="A25" s="2" t="s">
        <v>24</v>
      </c>
      <c r="B25" s="10" t="s">
        <v>34</v>
      </c>
      <c r="C25" s="11" t="s">
        <v>37</v>
      </c>
      <c r="D25" s="11">
        <v>10</v>
      </c>
      <c r="E25" s="12">
        <f t="shared" si="0"/>
        <v>10</v>
      </c>
    </row>
    <row r="26" spans="1:5" ht="12.75">
      <c r="A26" s="2" t="s">
        <v>25</v>
      </c>
      <c r="B26" s="10" t="s">
        <v>35</v>
      </c>
      <c r="C26" s="11" t="s">
        <v>37</v>
      </c>
      <c r="D26" s="11">
        <v>20</v>
      </c>
      <c r="E26" s="12">
        <f t="shared" si="0"/>
        <v>20</v>
      </c>
    </row>
    <row r="27" spans="1:5" ht="12.75">
      <c r="A27" s="2" t="s">
        <v>26</v>
      </c>
      <c r="B27" s="10" t="s">
        <v>36</v>
      </c>
      <c r="C27" s="11" t="s">
        <v>37</v>
      </c>
      <c r="D27" s="11">
        <v>30</v>
      </c>
      <c r="E27" s="12">
        <f t="shared" si="0"/>
        <v>30</v>
      </c>
    </row>
    <row r="30" ht="19.5">
      <c r="A30" s="6" t="s">
        <v>38</v>
      </c>
    </row>
    <row r="31" ht="12.75">
      <c r="B31" s="13" t="s">
        <v>40</v>
      </c>
    </row>
    <row r="32" spans="1:11" ht="12.75">
      <c r="A32" s="14" t="s">
        <v>39</v>
      </c>
      <c r="B32" s="3" t="str">
        <f>INDEX(Prod5_depts,1)</f>
        <v>D 1</v>
      </c>
      <c r="C32" s="3" t="str">
        <f>INDEX(Prod5_depts,2)</f>
        <v>D 2</v>
      </c>
      <c r="D32" s="3" t="str">
        <f>INDEX(Prod5_depts,3)</f>
        <v>D 3</v>
      </c>
      <c r="E32" s="3" t="str">
        <f>INDEX(Prod5_depts,4)</f>
        <v>D 4</v>
      </c>
      <c r="F32" s="3" t="str">
        <f>INDEX(Prod5_depts,5)</f>
        <v>D 5</v>
      </c>
      <c r="G32" s="3" t="str">
        <f>INDEX(Prod5_depts,6)</f>
        <v>D 6</v>
      </c>
      <c r="H32" s="3" t="str">
        <f>INDEX(Prod5_depts,7)</f>
        <v>D 7</v>
      </c>
      <c r="I32" s="3" t="str">
        <f>INDEX(Prod5_depts,8)</f>
        <v>D 8</v>
      </c>
      <c r="J32" s="3" t="str">
        <f>INDEX(Prod5_depts,9)</f>
        <v>D 9</v>
      </c>
      <c r="K32" s="3" t="str">
        <f>INDEX(Prod5_depts,10)</f>
        <v>D 10</v>
      </c>
    </row>
    <row r="33" spans="1:11" ht="12.75">
      <c r="A33" s="2" t="str">
        <f>INDEX(Prod5_depts,1)</f>
        <v>D 1</v>
      </c>
      <c r="B33" s="10"/>
      <c r="C33" s="10"/>
      <c r="D33" s="10"/>
      <c r="E33" s="10">
        <v>16</v>
      </c>
      <c r="F33" s="10"/>
      <c r="G33" s="10"/>
      <c r="H33" s="10"/>
      <c r="I33" s="10"/>
      <c r="J33" s="10"/>
      <c r="K33" s="10"/>
    </row>
    <row r="34" spans="1:11" ht="12.75">
      <c r="A34" s="2" t="str">
        <f>INDEX(Prod5_depts,2)</f>
        <v>D 2</v>
      </c>
      <c r="B34" s="10"/>
      <c r="C34" s="10"/>
      <c r="D34" s="10"/>
      <c r="E34" s="10"/>
      <c r="F34" s="10"/>
      <c r="G34" s="10"/>
      <c r="H34" s="10">
        <v>11</v>
      </c>
      <c r="I34" s="10"/>
      <c r="J34" s="10">
        <v>16</v>
      </c>
      <c r="K34" s="10"/>
    </row>
    <row r="35" spans="1:11" ht="12.75">
      <c r="A35" s="2" t="str">
        <f>INDEX(Prod5_depts,3)</f>
        <v>D 3</v>
      </c>
      <c r="B35" s="10">
        <v>15</v>
      </c>
      <c r="C35" s="10">
        <v>16</v>
      </c>
      <c r="D35" s="10"/>
      <c r="E35" s="10">
        <v>14</v>
      </c>
      <c r="F35" s="10">
        <v>12</v>
      </c>
      <c r="G35" s="10"/>
      <c r="H35" s="10">
        <v>13</v>
      </c>
      <c r="I35" s="10">
        <v>12</v>
      </c>
      <c r="J35" s="10"/>
      <c r="K35" s="10"/>
    </row>
    <row r="36" spans="1:11" ht="12.75">
      <c r="A36" s="2" t="str">
        <f>INDEX(Prod5_depts,4)</f>
        <v>D 4</v>
      </c>
      <c r="B36" s="10"/>
      <c r="C36" s="10">
        <v>18</v>
      </c>
      <c r="D36" s="10"/>
      <c r="E36" s="10"/>
      <c r="F36" s="10">
        <v>13</v>
      </c>
      <c r="G36" s="10"/>
      <c r="H36" s="10"/>
      <c r="I36" s="10"/>
      <c r="J36" s="10">
        <v>16</v>
      </c>
      <c r="K36" s="10"/>
    </row>
    <row r="37" spans="1:11" ht="12.75">
      <c r="A37" s="2" t="str">
        <f>INDEX(Prod5_depts,5)</f>
        <v>D 5</v>
      </c>
      <c r="B37" s="10"/>
      <c r="C37" s="10"/>
      <c r="D37" s="10"/>
      <c r="E37" s="10"/>
      <c r="F37" s="10"/>
      <c r="G37" s="10">
        <v>19</v>
      </c>
      <c r="H37" s="10"/>
      <c r="I37" s="10">
        <v>12</v>
      </c>
      <c r="J37" s="10"/>
      <c r="K37" s="10">
        <v>17</v>
      </c>
    </row>
    <row r="38" spans="1:11" ht="12.75">
      <c r="A38" s="2" t="str">
        <f>INDEX(Prod5_depts,6)</f>
        <v>D 6</v>
      </c>
      <c r="B38" s="10"/>
      <c r="C38" s="10">
        <v>15</v>
      </c>
      <c r="D38" s="10">
        <v>16</v>
      </c>
      <c r="E38" s="10">
        <v>15</v>
      </c>
      <c r="F38" s="10"/>
      <c r="G38" s="10"/>
      <c r="H38" s="10">
        <v>13</v>
      </c>
      <c r="I38" s="10">
        <v>13</v>
      </c>
      <c r="J38" s="10"/>
      <c r="K38" s="10"/>
    </row>
    <row r="39" spans="1:11" ht="12.75">
      <c r="A39" s="2" t="str">
        <f>INDEX(Prod5_depts,7)</f>
        <v>D 7</v>
      </c>
      <c r="B39" s="10"/>
      <c r="C39" s="10">
        <v>16</v>
      </c>
      <c r="D39" s="10"/>
      <c r="E39" s="10"/>
      <c r="F39" s="10">
        <v>16</v>
      </c>
      <c r="G39" s="10">
        <v>14</v>
      </c>
      <c r="H39" s="10"/>
      <c r="I39" s="10">
        <v>13</v>
      </c>
      <c r="J39" s="10"/>
      <c r="K39" s="10"/>
    </row>
    <row r="40" spans="1:11" ht="12.75">
      <c r="A40" s="2" t="str">
        <f>INDEX(Prod5_depts,8)</f>
        <v>D 8</v>
      </c>
      <c r="B40" s="10"/>
      <c r="C40" s="10"/>
      <c r="D40" s="10">
        <v>16</v>
      </c>
      <c r="E40" s="10"/>
      <c r="F40" s="10"/>
      <c r="G40" s="10">
        <v>12</v>
      </c>
      <c r="H40" s="10"/>
      <c r="I40" s="10"/>
      <c r="J40" s="10"/>
      <c r="K40" s="10">
        <v>17</v>
      </c>
    </row>
    <row r="41" spans="1:11" ht="12.75">
      <c r="A41" s="2" t="str">
        <f>INDEX(Prod5_depts,9)</f>
        <v>D 9</v>
      </c>
      <c r="B41" s="10"/>
      <c r="C41" s="10">
        <v>13</v>
      </c>
      <c r="D41" s="10">
        <v>13</v>
      </c>
      <c r="E41" s="10"/>
      <c r="F41" s="10">
        <v>19</v>
      </c>
      <c r="G41" s="10">
        <v>12</v>
      </c>
      <c r="H41" s="10"/>
      <c r="I41" s="10"/>
      <c r="J41" s="10"/>
      <c r="K41" s="10">
        <v>13</v>
      </c>
    </row>
    <row r="42" spans="1:11" ht="12.75">
      <c r="A42" s="2" t="str">
        <f>INDEX(Prod5_depts,10)</f>
        <v>D 10</v>
      </c>
      <c r="B42" s="10">
        <v>13</v>
      </c>
      <c r="C42" s="10">
        <v>17</v>
      </c>
      <c r="D42" s="10"/>
      <c r="E42" s="10"/>
      <c r="F42" s="10"/>
      <c r="G42" s="10">
        <v>13</v>
      </c>
      <c r="H42" s="10">
        <v>11</v>
      </c>
      <c r="I42" s="10">
        <v>18</v>
      </c>
      <c r="J42" s="10"/>
      <c r="K42" s="10"/>
    </row>
    <row r="45" ht="19.5">
      <c r="A45" s="6" t="s">
        <v>41</v>
      </c>
    </row>
    <row r="46" ht="12.75">
      <c r="B46" s="13" t="s">
        <v>40</v>
      </c>
    </row>
    <row r="47" spans="1:11" ht="12.75">
      <c r="A47" s="14" t="s">
        <v>39</v>
      </c>
      <c r="B47" s="3" t="str">
        <f>INDEX(Prod5_depts,1)</f>
        <v>D 1</v>
      </c>
      <c r="C47" s="3" t="str">
        <f>INDEX(Prod5_depts,2)</f>
        <v>D 2</v>
      </c>
      <c r="D47" s="3" t="str">
        <f>INDEX(Prod5_depts,3)</f>
        <v>D 3</v>
      </c>
      <c r="E47" s="3" t="str">
        <f>INDEX(Prod5_depts,4)</f>
        <v>D 4</v>
      </c>
      <c r="F47" s="3" t="str">
        <f>INDEX(Prod5_depts,5)</f>
        <v>D 5</v>
      </c>
      <c r="G47" s="3" t="str">
        <f>INDEX(Prod5_depts,6)</f>
        <v>D 6</v>
      </c>
      <c r="H47" s="3" t="str">
        <f>INDEX(Prod5_depts,7)</f>
        <v>D 7</v>
      </c>
      <c r="I47" s="3" t="str">
        <f>INDEX(Prod5_depts,8)</f>
        <v>D 8</v>
      </c>
      <c r="J47" s="3" t="str">
        <f>INDEX(Prod5_depts,9)</f>
        <v>D 9</v>
      </c>
      <c r="K47" s="3" t="str">
        <f>INDEX(Prod5_depts,10)</f>
        <v>D 10</v>
      </c>
    </row>
    <row r="48" spans="1:11" ht="12.75">
      <c r="A48" s="2" t="str">
        <f>INDEX(Prod5_depts,1)</f>
        <v>D 1</v>
      </c>
      <c r="B48" s="10">
        <v>1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</row>
    <row r="49" spans="1:11" ht="12.75">
      <c r="A49" s="2" t="str">
        <f>INDEX(Prod5_depts,2)</f>
        <v>D 2</v>
      </c>
      <c r="B49" s="10">
        <v>1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</row>
    <row r="50" spans="1:11" ht="12.75">
      <c r="A50" s="2" t="str">
        <f>INDEX(Prod5_depts,3)</f>
        <v>D 3</v>
      </c>
      <c r="B50" s="10">
        <v>1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</row>
    <row r="51" spans="1:11" ht="12.75">
      <c r="A51" s="2" t="str">
        <f>INDEX(Prod5_depts,4)</f>
        <v>D 4</v>
      </c>
      <c r="B51" s="10">
        <v>1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</row>
    <row r="52" spans="1:11" ht="12.75">
      <c r="A52" s="2" t="str">
        <f>INDEX(Prod5_depts,5)</f>
        <v>D 5</v>
      </c>
      <c r="B52" s="10">
        <v>1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</row>
    <row r="53" spans="1:11" ht="12.75">
      <c r="A53" s="2" t="str">
        <f>INDEX(Prod5_depts,6)</f>
        <v>D 6</v>
      </c>
      <c r="B53" s="10">
        <v>1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</row>
    <row r="54" spans="1:11" ht="12.75">
      <c r="A54" s="2" t="str">
        <f>INDEX(Prod5_depts,7)</f>
        <v>D 7</v>
      </c>
      <c r="B54" s="10">
        <v>1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</row>
    <row r="55" spans="1:11" ht="12.75">
      <c r="A55" s="2" t="str">
        <f>INDEX(Prod5_depts,8)</f>
        <v>D 8</v>
      </c>
      <c r="B55" s="10">
        <v>1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</row>
    <row r="56" spans="1:11" ht="12.75">
      <c r="A56" s="2" t="str">
        <f>INDEX(Prod5_depts,9)</f>
        <v>D 9</v>
      </c>
      <c r="B56" s="10">
        <v>1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</row>
    <row r="57" spans="1:11" ht="12.75">
      <c r="A57" s="2" t="str">
        <f>INDEX(Prod5_depts,10)</f>
        <v>D 10</v>
      </c>
      <c r="B57" s="10">
        <v>1</v>
      </c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3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75390625" style="0" customWidth="1"/>
    <col min="8" max="9" width="5.75390625" style="0" customWidth="1"/>
    <col min="10" max="24" width="3.75390625" style="0" customWidth="1"/>
    <col min="25" max="34" width="5.75390625" style="0" customWidth="1"/>
    <col min="35" max="35" width="12.75390625" style="0" customWidth="1"/>
    <col min="36" max="45" width="6.75390625" style="0" customWidth="1"/>
    <col min="46" max="46" width="5.75390625" style="0" customWidth="1"/>
    <col min="47" max="47" width="12.375" style="0" customWidth="1"/>
    <col min="48" max="16384" width="5.75390625" style="0" customWidth="1"/>
  </cols>
  <sheetData>
    <row r="1" ht="19.5">
      <c r="A1" s="6" t="s">
        <v>43</v>
      </c>
    </row>
    <row r="2" spans="35:49" ht="12.75">
      <c r="AI2" s="42" t="s">
        <v>65</v>
      </c>
      <c r="AL2" s="3" t="s">
        <v>72</v>
      </c>
      <c r="AM2" s="3"/>
      <c r="AN2" s="3" t="s">
        <v>73</v>
      </c>
      <c r="AU2" s="42" t="s">
        <v>90</v>
      </c>
      <c r="AV2">
        <v>3810.5</v>
      </c>
      <c r="AW2" t="s">
        <v>110</v>
      </c>
    </row>
    <row r="3" spans="1:49" ht="12.75">
      <c r="A3" s="2" t="s">
        <v>1</v>
      </c>
      <c r="B3" s="5" t="str">
        <f>Prod5_name</f>
        <v>Prod5</v>
      </c>
      <c r="D3" s="2" t="s">
        <v>48</v>
      </c>
      <c r="E3" s="5" t="s">
        <v>54</v>
      </c>
      <c r="AI3" s="2" t="s">
        <v>14</v>
      </c>
      <c r="AJ3" s="16" t="s">
        <v>112</v>
      </c>
      <c r="AK3" s="2" t="s">
        <v>74</v>
      </c>
      <c r="AL3" s="5" t="s">
        <v>76</v>
      </c>
      <c r="AM3" s="2" t="s">
        <v>77</v>
      </c>
      <c r="AN3" s="40" t="b">
        <f>E_Prod5_OpFeasValue=0</f>
        <v>1</v>
      </c>
      <c r="AU3" s="42" t="s">
        <v>91</v>
      </c>
      <c r="AV3">
        <v>5</v>
      </c>
      <c r="AW3" t="s">
        <v>92</v>
      </c>
    </row>
    <row r="4" spans="1:52" ht="12.75">
      <c r="A4" s="2" t="s">
        <v>3</v>
      </c>
      <c r="B4" s="5">
        <f>Prod5_number</f>
        <v>10</v>
      </c>
      <c r="D4" s="2" t="s">
        <v>49</v>
      </c>
      <c r="E4" s="5" t="s">
        <v>55</v>
      </c>
      <c r="P4" s="15" t="s">
        <v>64</v>
      </c>
      <c r="U4" s="15" t="s">
        <v>65</v>
      </c>
      <c r="AI4" s="2" t="s">
        <v>79</v>
      </c>
      <c r="AJ4" s="16" t="s">
        <v>109</v>
      </c>
      <c r="AK4" s="2" t="s">
        <v>75</v>
      </c>
      <c r="AL4" s="44">
        <f>SUM(E_Prod5_OpObjTerms)+$B$8</f>
        <v>3810.5</v>
      </c>
      <c r="AM4" s="2" t="s">
        <v>75</v>
      </c>
      <c r="AN4" s="40">
        <f>COUNTIF(E_Prod5_OpValue,"=0")</f>
        <v>0</v>
      </c>
      <c r="AU4" s="42" t="s">
        <v>93</v>
      </c>
      <c r="AV4">
        <v>76</v>
      </c>
      <c r="AW4" s="2" t="s">
        <v>94</v>
      </c>
      <c r="AX4">
        <v>2</v>
      </c>
      <c r="AY4" s="2" t="s">
        <v>95</v>
      </c>
      <c r="AZ4">
        <v>74</v>
      </c>
    </row>
    <row r="5" spans="1:48" ht="12.75">
      <c r="A5" s="2" t="s">
        <v>44</v>
      </c>
      <c r="B5" s="5">
        <f>Prod5_length</f>
        <v>11</v>
      </c>
      <c r="D5" s="2" t="s">
        <v>50</v>
      </c>
      <c r="E5" s="5" t="s">
        <v>56</v>
      </c>
      <c r="AI5" s="2" t="s">
        <v>80</v>
      </c>
      <c r="AJ5" s="16" t="s">
        <v>81</v>
      </c>
      <c r="AK5" t="s">
        <v>82</v>
      </c>
      <c r="AL5" s="5" t="s">
        <v>83</v>
      </c>
      <c r="AU5" s="42" t="s">
        <v>96</v>
      </c>
      <c r="AV5" s="47">
        <v>1</v>
      </c>
    </row>
    <row r="6" spans="1:48" ht="12.75">
      <c r="A6" s="2" t="s">
        <v>45</v>
      </c>
      <c r="B6" s="5">
        <f>Prod5_width</f>
        <v>15</v>
      </c>
      <c r="D6" s="2" t="s">
        <v>51</v>
      </c>
      <c r="E6" s="5" t="s">
        <v>57</v>
      </c>
      <c r="K6" s="15" t="s">
        <v>66</v>
      </c>
      <c r="P6" s="15" t="s">
        <v>67</v>
      </c>
      <c r="U6" s="15" t="s">
        <v>68</v>
      </c>
      <c r="AI6" s="2" t="s">
        <v>84</v>
      </c>
      <c r="AJ6" s="3">
        <v>1</v>
      </c>
      <c r="AK6" s="3">
        <v>2</v>
      </c>
      <c r="AL6" s="3">
        <v>3</v>
      </c>
      <c r="AM6" s="3">
        <v>4</v>
      </c>
      <c r="AN6" s="3">
        <v>5</v>
      </c>
      <c r="AO6" s="3">
        <v>6</v>
      </c>
      <c r="AP6" s="3">
        <v>7</v>
      </c>
      <c r="AQ6" s="3">
        <v>8</v>
      </c>
      <c r="AR6" s="3">
        <v>9</v>
      </c>
      <c r="AS6" s="3">
        <v>10</v>
      </c>
      <c r="AU6" s="42" t="s">
        <v>97</v>
      </c>
      <c r="AV6">
        <v>10</v>
      </c>
    </row>
    <row r="7" spans="1:45" ht="12.75">
      <c r="A7" s="2" t="s">
        <v>46</v>
      </c>
      <c r="B7" s="5">
        <f>Prod5_parea</f>
        <v>165</v>
      </c>
      <c r="D7" s="2" t="s">
        <v>52</v>
      </c>
      <c r="E7" s="5">
        <v>3</v>
      </c>
      <c r="AI7" s="2" t="s">
        <v>14</v>
      </c>
      <c r="AJ7" s="3" t="s">
        <v>113</v>
      </c>
      <c r="AK7" s="3" t="s">
        <v>114</v>
      </c>
      <c r="AL7" s="3" t="s">
        <v>115</v>
      </c>
      <c r="AM7" s="3" t="s">
        <v>116</v>
      </c>
      <c r="AN7" s="3" t="s">
        <v>117</v>
      </c>
      <c r="AO7" s="3" t="s">
        <v>118</v>
      </c>
      <c r="AP7" s="3" t="s">
        <v>119</v>
      </c>
      <c r="AQ7" s="3" t="s">
        <v>120</v>
      </c>
      <c r="AR7" s="3" t="s">
        <v>121</v>
      </c>
      <c r="AS7" s="3" t="s">
        <v>122</v>
      </c>
    </row>
    <row r="8" spans="1:48" ht="12.75">
      <c r="A8" s="2" t="s">
        <v>47</v>
      </c>
      <c r="B8" s="17">
        <v>3637.5</v>
      </c>
      <c r="D8" s="2" t="s">
        <v>53</v>
      </c>
      <c r="E8" s="5">
        <v>5</v>
      </c>
      <c r="K8" s="15" t="s">
        <v>69</v>
      </c>
      <c r="P8" s="15" t="s">
        <v>70</v>
      </c>
      <c r="U8" s="15" t="s">
        <v>71</v>
      </c>
      <c r="AI8" s="2" t="s">
        <v>85</v>
      </c>
      <c r="AJ8" s="41">
        <v>1</v>
      </c>
      <c r="AK8" s="41">
        <v>8</v>
      </c>
      <c r="AL8" s="41">
        <v>2</v>
      </c>
      <c r="AM8" s="41">
        <v>3</v>
      </c>
      <c r="AN8" s="41">
        <v>4</v>
      </c>
      <c r="AO8" s="41">
        <v>6</v>
      </c>
      <c r="AP8" s="41">
        <v>7</v>
      </c>
      <c r="AQ8" s="41">
        <v>5</v>
      </c>
      <c r="AR8" s="41">
        <v>9</v>
      </c>
      <c r="AS8" s="41">
        <v>10</v>
      </c>
      <c r="AV8" s="46" t="s">
        <v>87</v>
      </c>
    </row>
    <row r="9" spans="9:59" ht="12.75">
      <c r="I9">
        <v>3637.5</v>
      </c>
      <c r="J9" t="s">
        <v>98</v>
      </c>
      <c r="AV9" s="3" t="s">
        <v>88</v>
      </c>
      <c r="AW9" s="3" t="s">
        <v>113</v>
      </c>
      <c r="AX9" s="3" t="s">
        <v>114</v>
      </c>
      <c r="AY9" s="3" t="s">
        <v>115</v>
      </c>
      <c r="AZ9" s="3" t="s">
        <v>116</v>
      </c>
      <c r="BA9" s="3" t="s">
        <v>117</v>
      </c>
      <c r="BB9" s="3" t="s">
        <v>118</v>
      </c>
      <c r="BC9" s="3" t="s">
        <v>119</v>
      </c>
      <c r="BD9" s="3" t="s">
        <v>120</v>
      </c>
      <c r="BE9" s="3" t="s">
        <v>121</v>
      </c>
      <c r="BF9" s="3" t="s">
        <v>122</v>
      </c>
      <c r="BG9" s="3" t="s">
        <v>89</v>
      </c>
    </row>
    <row r="10" spans="1:59" ht="12.75">
      <c r="A10" s="3" t="s">
        <v>58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54</v>
      </c>
      <c r="J10">
        <v>1</v>
      </c>
      <c r="K10">
        <v>2</v>
      </c>
      <c r="L10">
        <v>3</v>
      </c>
      <c r="M10">
        <v>4</v>
      </c>
      <c r="N10">
        <v>5</v>
      </c>
      <c r="O10">
        <v>6</v>
      </c>
      <c r="P10">
        <v>7</v>
      </c>
      <c r="Q10">
        <v>8</v>
      </c>
      <c r="R10">
        <v>9</v>
      </c>
      <c r="S10">
        <v>10</v>
      </c>
      <c r="T10">
        <v>11</v>
      </c>
      <c r="U10">
        <v>12</v>
      </c>
      <c r="V10">
        <v>13</v>
      </c>
      <c r="W10">
        <v>14</v>
      </c>
      <c r="X10">
        <v>15</v>
      </c>
      <c r="AI10" s="2" t="s">
        <v>86</v>
      </c>
      <c r="AJ10" s="49">
        <f aca="true" t="shared" si="0" ref="AJ10:AS10">INDEX(E_Prod5_OpObjMatrix,E_Prod5_OpValue+1,)</f>
        <v>0</v>
      </c>
      <c r="AK10" s="49">
        <f t="shared" si="0"/>
        <v>0</v>
      </c>
      <c r="AL10" s="49">
        <f t="shared" si="0"/>
        <v>28</v>
      </c>
      <c r="AM10" s="49">
        <f t="shared" si="0"/>
        <v>34</v>
      </c>
      <c r="AN10" s="49">
        <f t="shared" si="0"/>
        <v>40</v>
      </c>
      <c r="AO10" s="49">
        <f t="shared" si="0"/>
        <v>11</v>
      </c>
      <c r="AP10" s="49">
        <f t="shared" si="0"/>
        <v>26</v>
      </c>
      <c r="AQ10" s="49">
        <f t="shared" si="0"/>
        <v>9</v>
      </c>
      <c r="AR10" s="49">
        <f t="shared" si="0"/>
        <v>25</v>
      </c>
      <c r="AS10" s="49">
        <f t="shared" si="0"/>
        <v>0</v>
      </c>
      <c r="AV10" s="48">
        <v>43</v>
      </c>
      <c r="AW10" s="48">
        <v>1</v>
      </c>
      <c r="AX10" s="48">
        <v>8</v>
      </c>
      <c r="AY10" s="48">
        <v>2</v>
      </c>
      <c r="AZ10" s="48">
        <v>3</v>
      </c>
      <c r="BA10" s="48">
        <v>4</v>
      </c>
      <c r="BB10" s="48">
        <v>6</v>
      </c>
      <c r="BC10" s="48">
        <v>7</v>
      </c>
      <c r="BD10" s="48">
        <v>5</v>
      </c>
      <c r="BE10" s="48">
        <v>9</v>
      </c>
      <c r="BF10" s="48">
        <v>10</v>
      </c>
      <c r="BG10" s="48">
        <v>3810.5</v>
      </c>
    </row>
    <row r="11" spans="1:59" ht="25.5" customHeight="1">
      <c r="A11" s="4" t="str">
        <f>INDEX(Prod5_depts,1,1)</f>
        <v>D 1</v>
      </c>
      <c r="B11" s="18">
        <v>1</v>
      </c>
      <c r="C11" s="4">
        <f>INDEX(Prod5_darea,1,1)</f>
        <v>5</v>
      </c>
      <c r="D11" s="28">
        <v>5</v>
      </c>
      <c r="E11" s="28">
        <v>2.5</v>
      </c>
      <c r="F11" s="28">
        <v>0.5</v>
      </c>
      <c r="G11" s="28">
        <f>$AJ$8</f>
        <v>1</v>
      </c>
      <c r="I11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1">
        <v>2</v>
      </c>
      <c r="P11" s="31">
        <v>2</v>
      </c>
      <c r="Q11" s="31">
        <v>2</v>
      </c>
      <c r="R11" s="31">
        <v>2</v>
      </c>
      <c r="S11" s="31">
        <v>2</v>
      </c>
      <c r="T11" s="38">
        <v>9</v>
      </c>
      <c r="U11" s="38">
        <v>9</v>
      </c>
      <c r="V11" s="38">
        <v>9</v>
      </c>
      <c r="W11" s="38">
        <v>9</v>
      </c>
      <c r="X11" s="38">
        <v>9</v>
      </c>
      <c r="AI11" s="2"/>
      <c r="AV11" s="48">
        <v>76</v>
      </c>
      <c r="AW11" s="48">
        <v>1</v>
      </c>
      <c r="AX11" s="48">
        <v>8</v>
      </c>
      <c r="AY11" s="48">
        <v>2</v>
      </c>
      <c r="AZ11" s="48">
        <v>3</v>
      </c>
      <c r="BA11" s="48">
        <v>4</v>
      </c>
      <c r="BB11" s="48">
        <v>6</v>
      </c>
      <c r="BC11" s="48">
        <v>7</v>
      </c>
      <c r="BD11" s="48">
        <v>5</v>
      </c>
      <c r="BE11" s="48">
        <v>9</v>
      </c>
      <c r="BF11" s="48">
        <v>10</v>
      </c>
      <c r="BG11" s="48">
        <v>3810.5</v>
      </c>
    </row>
    <row r="12" spans="1:59" ht="25.5" customHeight="1">
      <c r="A12" s="4" t="str">
        <f>INDEX(Prod5_depts,2,1)</f>
        <v>D 2</v>
      </c>
      <c r="B12" s="19">
        <v>2</v>
      </c>
      <c r="C12" s="4">
        <f>INDEX(Prod5_darea,2,1)</f>
        <v>10</v>
      </c>
      <c r="D12" s="28">
        <v>10</v>
      </c>
      <c r="E12" s="28">
        <v>7.5</v>
      </c>
      <c r="F12" s="28">
        <v>1</v>
      </c>
      <c r="G12" s="28">
        <f>$AK$8</f>
        <v>8</v>
      </c>
      <c r="I12">
        <v>2</v>
      </c>
      <c r="J12" s="32">
        <v>3</v>
      </c>
      <c r="K12" s="32">
        <v>3</v>
      </c>
      <c r="L12" s="32">
        <v>3</v>
      </c>
      <c r="M12" s="32">
        <v>3</v>
      </c>
      <c r="N12" s="32">
        <v>3</v>
      </c>
      <c r="O12" s="31">
        <v>2</v>
      </c>
      <c r="P12" s="31">
        <v>2</v>
      </c>
      <c r="Q12" s="31">
        <v>2</v>
      </c>
      <c r="R12" s="31">
        <v>2</v>
      </c>
      <c r="S12" s="31">
        <v>2</v>
      </c>
      <c r="T12" s="38">
        <v>9</v>
      </c>
      <c r="U12" s="38">
        <v>9</v>
      </c>
      <c r="V12" s="38">
        <v>9</v>
      </c>
      <c r="W12" s="38">
        <v>9</v>
      </c>
      <c r="X12" s="38">
        <v>9</v>
      </c>
      <c r="AI12" s="2" t="s">
        <v>123</v>
      </c>
      <c r="AJ12" s="3">
        <v>1</v>
      </c>
      <c r="AK12" s="3">
        <v>2</v>
      </c>
      <c r="AL12" s="3">
        <v>3</v>
      </c>
      <c r="AM12" s="3">
        <v>4</v>
      </c>
      <c r="AN12" s="3">
        <v>5</v>
      </c>
      <c r="AO12" s="3">
        <v>6</v>
      </c>
      <c r="AP12" s="3">
        <v>7</v>
      </c>
      <c r="AQ12" s="3">
        <v>8</v>
      </c>
      <c r="AR12" s="3">
        <v>9</v>
      </c>
      <c r="AS12" s="3">
        <v>10</v>
      </c>
      <c r="AV12" s="48">
        <v>21</v>
      </c>
      <c r="AW12" s="48">
        <v>1</v>
      </c>
      <c r="AX12" s="48">
        <v>8</v>
      </c>
      <c r="AY12" s="48">
        <v>2</v>
      </c>
      <c r="AZ12" s="48">
        <v>9</v>
      </c>
      <c r="BA12" s="48">
        <v>4</v>
      </c>
      <c r="BB12" s="48">
        <v>6</v>
      </c>
      <c r="BC12" s="48">
        <v>7</v>
      </c>
      <c r="BD12" s="48">
        <v>5</v>
      </c>
      <c r="BE12" s="48">
        <v>3</v>
      </c>
      <c r="BF12" s="48">
        <v>10</v>
      </c>
      <c r="BG12" s="48">
        <v>3816.16650390625</v>
      </c>
    </row>
    <row r="13" spans="1:59" ht="25.5" customHeight="1">
      <c r="A13" s="4" t="str">
        <f>INDEX(Prod5_depts,3,1)</f>
        <v>D 3</v>
      </c>
      <c r="B13" s="20">
        <v>3</v>
      </c>
      <c r="C13" s="4">
        <f>INDEX(Prod5_darea,3,1)</f>
        <v>20</v>
      </c>
      <c r="D13" s="28">
        <v>20</v>
      </c>
      <c r="E13" s="28">
        <v>2.5</v>
      </c>
      <c r="F13" s="28">
        <v>3</v>
      </c>
      <c r="G13" s="28">
        <f>$AL$8</f>
        <v>2</v>
      </c>
      <c r="I13">
        <v>3</v>
      </c>
      <c r="J13" s="32">
        <v>3</v>
      </c>
      <c r="K13" s="32">
        <v>3</v>
      </c>
      <c r="L13" s="32">
        <v>3</v>
      </c>
      <c r="M13" s="32">
        <v>3</v>
      </c>
      <c r="N13" s="32">
        <v>3</v>
      </c>
      <c r="O13" s="36">
        <v>7</v>
      </c>
      <c r="P13" s="36">
        <v>7</v>
      </c>
      <c r="Q13" s="36">
        <v>7</v>
      </c>
      <c r="R13" s="36">
        <v>7</v>
      </c>
      <c r="S13" s="36">
        <v>7</v>
      </c>
      <c r="T13" s="38">
        <v>9</v>
      </c>
      <c r="U13" s="38">
        <v>9</v>
      </c>
      <c r="V13" s="38">
        <v>9</v>
      </c>
      <c r="W13" s="38">
        <v>9</v>
      </c>
      <c r="X13" s="38">
        <v>9</v>
      </c>
      <c r="AI13" s="2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V13" s="48">
        <v>20</v>
      </c>
      <c r="AW13" s="48">
        <v>1</v>
      </c>
      <c r="AX13" s="48">
        <v>8</v>
      </c>
      <c r="AY13" s="48">
        <v>2</v>
      </c>
      <c r="AZ13" s="48">
        <v>9</v>
      </c>
      <c r="BA13" s="48">
        <v>4</v>
      </c>
      <c r="BB13" s="48">
        <v>5</v>
      </c>
      <c r="BC13" s="48">
        <v>7</v>
      </c>
      <c r="BD13" s="48">
        <v>6</v>
      </c>
      <c r="BE13" s="48">
        <v>3</v>
      </c>
      <c r="BF13" s="48">
        <v>10</v>
      </c>
      <c r="BG13" s="48">
        <v>3914.16650390625</v>
      </c>
    </row>
    <row r="14" spans="1:59" ht="25.5" customHeight="1">
      <c r="A14" s="4" t="str">
        <f>INDEX(Prod5_depts,4,1)</f>
        <v>D 4</v>
      </c>
      <c r="B14" s="21">
        <v>4</v>
      </c>
      <c r="C14" s="4">
        <f>INDEX(Prod5_darea,4,1)</f>
        <v>30</v>
      </c>
      <c r="D14" s="28">
        <v>30</v>
      </c>
      <c r="E14" s="28">
        <v>2.5</v>
      </c>
      <c r="F14" s="28">
        <v>8</v>
      </c>
      <c r="G14" s="28">
        <f>$AM$8</f>
        <v>3</v>
      </c>
      <c r="I14">
        <v>4</v>
      </c>
      <c r="J14" s="32">
        <v>3</v>
      </c>
      <c r="K14" s="32">
        <v>3</v>
      </c>
      <c r="L14" s="32">
        <v>3</v>
      </c>
      <c r="M14" s="32">
        <v>3</v>
      </c>
      <c r="N14" s="32">
        <v>3</v>
      </c>
      <c r="O14" s="35">
        <v>6</v>
      </c>
      <c r="P14" s="35">
        <v>6</v>
      </c>
      <c r="Q14" s="35">
        <v>6</v>
      </c>
      <c r="R14" s="35">
        <v>6</v>
      </c>
      <c r="S14" s="35">
        <v>6</v>
      </c>
      <c r="T14" s="38">
        <v>9</v>
      </c>
      <c r="U14" s="38">
        <v>9</v>
      </c>
      <c r="V14" s="38">
        <v>9</v>
      </c>
      <c r="W14" s="38">
        <v>9</v>
      </c>
      <c r="X14" s="38">
        <v>9</v>
      </c>
      <c r="AI14" s="2">
        <v>1</v>
      </c>
      <c r="AJ14" s="50">
        <v>0</v>
      </c>
      <c r="AK14" s="50" t="s">
        <v>124</v>
      </c>
      <c r="AL14" s="50" t="s">
        <v>124</v>
      </c>
      <c r="AM14" s="50" t="s">
        <v>124</v>
      </c>
      <c r="AN14" s="50" t="s">
        <v>124</v>
      </c>
      <c r="AO14" s="50" t="s">
        <v>124</v>
      </c>
      <c r="AP14" s="50" t="s">
        <v>124</v>
      </c>
      <c r="AQ14" s="50" t="s">
        <v>124</v>
      </c>
      <c r="AR14" s="50" t="s">
        <v>124</v>
      </c>
      <c r="AS14" s="50" t="s">
        <v>124</v>
      </c>
      <c r="AV14" s="48">
        <v>18</v>
      </c>
      <c r="AW14" s="48">
        <v>1</v>
      </c>
      <c r="AX14" s="48">
        <v>8</v>
      </c>
      <c r="AY14" s="48">
        <v>2</v>
      </c>
      <c r="AZ14" s="48">
        <v>9</v>
      </c>
      <c r="BA14" s="48">
        <v>4</v>
      </c>
      <c r="BB14" s="48">
        <v>7</v>
      </c>
      <c r="BC14" s="48">
        <v>5</v>
      </c>
      <c r="BD14" s="48">
        <v>6</v>
      </c>
      <c r="BE14" s="48">
        <v>3</v>
      </c>
      <c r="BF14" s="48">
        <v>10</v>
      </c>
      <c r="BG14" s="48">
        <v>3923.16650390625</v>
      </c>
    </row>
    <row r="15" spans="1:59" ht="25.5" customHeight="1">
      <c r="A15" s="4" t="str">
        <f>INDEX(Prod5_depts,5,1)</f>
        <v>D 5</v>
      </c>
      <c r="B15" s="22">
        <v>5</v>
      </c>
      <c r="C15" s="4">
        <f>INDEX(Prod5_darea,5,1)</f>
        <v>20</v>
      </c>
      <c r="D15" s="28">
        <v>20</v>
      </c>
      <c r="E15" s="28">
        <v>7.5</v>
      </c>
      <c r="F15" s="28">
        <v>9</v>
      </c>
      <c r="G15" s="28">
        <f>$AN$8</f>
        <v>4</v>
      </c>
      <c r="I15">
        <v>5</v>
      </c>
      <c r="J15" s="32">
        <v>3</v>
      </c>
      <c r="K15" s="32">
        <v>3</v>
      </c>
      <c r="L15" s="32">
        <v>3</v>
      </c>
      <c r="M15" s="32">
        <v>3</v>
      </c>
      <c r="N15" s="32">
        <v>3</v>
      </c>
      <c r="O15" s="35">
        <v>6</v>
      </c>
      <c r="P15" s="35">
        <v>6</v>
      </c>
      <c r="Q15" s="35">
        <v>6</v>
      </c>
      <c r="R15" s="35">
        <v>6</v>
      </c>
      <c r="S15" s="35">
        <v>6</v>
      </c>
      <c r="T15" s="39">
        <v>10</v>
      </c>
      <c r="U15" s="39">
        <v>10</v>
      </c>
      <c r="V15" s="39">
        <v>10</v>
      </c>
      <c r="W15" s="39">
        <v>10</v>
      </c>
      <c r="X15" s="39">
        <v>10</v>
      </c>
      <c r="AI15" s="2">
        <v>2</v>
      </c>
      <c r="AJ15" s="50" t="s">
        <v>124</v>
      </c>
      <c r="AK15" s="50">
        <v>30</v>
      </c>
      <c r="AL15" s="50">
        <v>28</v>
      </c>
      <c r="AM15" s="50">
        <v>44</v>
      </c>
      <c r="AN15" s="50">
        <v>46</v>
      </c>
      <c r="AO15" s="50">
        <v>2</v>
      </c>
      <c r="AP15" s="50">
        <v>28</v>
      </c>
      <c r="AQ15" s="50">
        <v>38</v>
      </c>
      <c r="AR15" s="50">
        <v>39</v>
      </c>
      <c r="AS15" s="50" t="s">
        <v>124</v>
      </c>
      <c r="AV15" s="48">
        <v>9</v>
      </c>
      <c r="AW15" s="48">
        <v>1</v>
      </c>
      <c r="AX15" s="48">
        <v>8</v>
      </c>
      <c r="AY15" s="48">
        <v>2</v>
      </c>
      <c r="AZ15" s="48">
        <v>3</v>
      </c>
      <c r="BA15" s="48">
        <v>4</v>
      </c>
      <c r="BB15" s="48">
        <v>7</v>
      </c>
      <c r="BC15" s="48">
        <v>5</v>
      </c>
      <c r="BD15" s="48">
        <v>6</v>
      </c>
      <c r="BE15" s="48">
        <v>9</v>
      </c>
      <c r="BF15" s="48">
        <v>10</v>
      </c>
      <c r="BG15" s="48">
        <v>3947.5</v>
      </c>
    </row>
    <row r="16" spans="1:59" ht="25.5" customHeight="1">
      <c r="A16" s="4" t="str">
        <f>INDEX(Prod5_depts,6,1)</f>
        <v>D 6</v>
      </c>
      <c r="B16" s="23">
        <v>6</v>
      </c>
      <c r="C16" s="4">
        <f>INDEX(Prod5_darea,6,1)</f>
        <v>10</v>
      </c>
      <c r="D16" s="28">
        <v>10</v>
      </c>
      <c r="E16" s="28">
        <v>7.5</v>
      </c>
      <c r="F16" s="28">
        <v>4</v>
      </c>
      <c r="G16" s="28">
        <f>$AO$8</f>
        <v>6</v>
      </c>
      <c r="I16">
        <v>6</v>
      </c>
      <c r="J16" s="33">
        <v>4</v>
      </c>
      <c r="K16" s="33">
        <v>4</v>
      </c>
      <c r="L16" s="33">
        <v>4</v>
      </c>
      <c r="M16" s="33">
        <v>4</v>
      </c>
      <c r="N16" s="33">
        <v>4</v>
      </c>
      <c r="O16" s="37">
        <v>8</v>
      </c>
      <c r="P16" s="37">
        <v>8</v>
      </c>
      <c r="Q16" s="37">
        <v>8</v>
      </c>
      <c r="R16" s="37">
        <v>8</v>
      </c>
      <c r="S16" s="37">
        <v>8</v>
      </c>
      <c r="T16" s="39">
        <v>10</v>
      </c>
      <c r="U16" s="39">
        <v>10</v>
      </c>
      <c r="V16" s="39">
        <v>10</v>
      </c>
      <c r="W16" s="39">
        <v>10</v>
      </c>
      <c r="X16" s="39">
        <v>10</v>
      </c>
      <c r="AI16" s="2">
        <v>3</v>
      </c>
      <c r="AJ16" s="50" t="s">
        <v>124</v>
      </c>
      <c r="AK16" s="50">
        <v>14</v>
      </c>
      <c r="AL16" s="50">
        <v>41</v>
      </c>
      <c r="AM16" s="50">
        <v>34</v>
      </c>
      <c r="AN16" s="50" t="s">
        <v>124</v>
      </c>
      <c r="AO16" s="50">
        <v>24</v>
      </c>
      <c r="AP16" s="50">
        <v>20</v>
      </c>
      <c r="AQ16" s="50">
        <v>29</v>
      </c>
      <c r="AR16" s="50">
        <v>13</v>
      </c>
      <c r="AS16" s="50" t="s">
        <v>124</v>
      </c>
      <c r="AV16" s="48">
        <v>8</v>
      </c>
      <c r="AW16" s="48">
        <v>1</v>
      </c>
      <c r="AX16" s="48">
        <v>8</v>
      </c>
      <c r="AY16" s="48">
        <v>3</v>
      </c>
      <c r="AZ16" s="48">
        <v>2</v>
      </c>
      <c r="BA16" s="48">
        <v>4</v>
      </c>
      <c r="BB16" s="48">
        <v>7</v>
      </c>
      <c r="BC16" s="48">
        <v>5</v>
      </c>
      <c r="BD16" s="48">
        <v>6</v>
      </c>
      <c r="BE16" s="48">
        <v>9</v>
      </c>
      <c r="BF16" s="48">
        <v>10</v>
      </c>
      <c r="BG16" s="48">
        <v>4093.5</v>
      </c>
    </row>
    <row r="17" spans="1:59" ht="25.5" customHeight="1">
      <c r="A17" s="4" t="str">
        <f>INDEX(Prod5_depts,7,1)</f>
        <v>D 7</v>
      </c>
      <c r="B17" s="24">
        <v>7</v>
      </c>
      <c r="C17" s="4">
        <f>INDEX(Prod5_darea,7,1)</f>
        <v>5</v>
      </c>
      <c r="D17" s="28">
        <v>5</v>
      </c>
      <c r="E17" s="28">
        <v>7.5</v>
      </c>
      <c r="F17" s="28">
        <v>2.5</v>
      </c>
      <c r="G17" s="28">
        <f>$AP$8</f>
        <v>7</v>
      </c>
      <c r="I17">
        <v>7</v>
      </c>
      <c r="J17" s="33">
        <v>4</v>
      </c>
      <c r="K17" s="33">
        <v>4</v>
      </c>
      <c r="L17" s="33">
        <v>4</v>
      </c>
      <c r="M17" s="33">
        <v>4</v>
      </c>
      <c r="N17" s="33">
        <v>4</v>
      </c>
      <c r="O17" s="37">
        <v>8</v>
      </c>
      <c r="P17" s="37">
        <v>8</v>
      </c>
      <c r="Q17" s="37">
        <v>8</v>
      </c>
      <c r="R17" s="37">
        <v>8</v>
      </c>
      <c r="S17" s="37">
        <v>8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AI17" s="2">
        <v>4</v>
      </c>
      <c r="AJ17" s="50" t="s">
        <v>124</v>
      </c>
      <c r="AK17" s="50">
        <v>42</v>
      </c>
      <c r="AL17" s="50">
        <v>14</v>
      </c>
      <c r="AM17" s="50">
        <v>39</v>
      </c>
      <c r="AN17" s="50">
        <v>40</v>
      </c>
      <c r="AO17" s="50">
        <v>38</v>
      </c>
      <c r="AP17" s="50">
        <v>11</v>
      </c>
      <c r="AQ17" s="50">
        <v>8</v>
      </c>
      <c r="AR17" s="50">
        <v>7</v>
      </c>
      <c r="AS17" s="50" t="s">
        <v>124</v>
      </c>
      <c r="AV17" s="48">
        <v>1</v>
      </c>
      <c r="AW17" s="48">
        <v>1</v>
      </c>
      <c r="AX17" s="48">
        <v>9</v>
      </c>
      <c r="AY17" s="48">
        <v>3</v>
      </c>
      <c r="AZ17" s="48">
        <v>2</v>
      </c>
      <c r="BA17" s="48">
        <v>4</v>
      </c>
      <c r="BB17" s="48">
        <v>7</v>
      </c>
      <c r="BC17" s="48">
        <v>5</v>
      </c>
      <c r="BD17" s="48">
        <v>6</v>
      </c>
      <c r="BE17" s="48">
        <v>8</v>
      </c>
      <c r="BF17" s="48">
        <v>10</v>
      </c>
      <c r="BG17" s="48">
        <v>4127.5</v>
      </c>
    </row>
    <row r="18" spans="1:45" ht="25.5" customHeight="1">
      <c r="A18" s="4" t="str">
        <f>INDEX(Prod5_depts,8,1)</f>
        <v>D 8</v>
      </c>
      <c r="B18" s="25">
        <v>8</v>
      </c>
      <c r="C18" s="4">
        <f>INDEX(Prod5_darea,8,1)</f>
        <v>10</v>
      </c>
      <c r="D18" s="28">
        <v>10</v>
      </c>
      <c r="E18" s="28">
        <v>7.5</v>
      </c>
      <c r="F18" s="28">
        <v>6</v>
      </c>
      <c r="G18" s="28">
        <f>$AQ$8</f>
        <v>5</v>
      </c>
      <c r="I18">
        <v>8</v>
      </c>
      <c r="J18" s="33">
        <v>4</v>
      </c>
      <c r="K18" s="33">
        <v>4</v>
      </c>
      <c r="L18" s="33">
        <v>4</v>
      </c>
      <c r="M18" s="33">
        <v>4</v>
      </c>
      <c r="N18" s="33">
        <v>4</v>
      </c>
      <c r="O18" s="34">
        <v>5</v>
      </c>
      <c r="P18" s="34">
        <v>5</v>
      </c>
      <c r="Q18" s="34">
        <v>5</v>
      </c>
      <c r="R18" s="34">
        <v>5</v>
      </c>
      <c r="S18" s="34">
        <v>5</v>
      </c>
      <c r="T18" s="39">
        <v>10</v>
      </c>
      <c r="U18" s="39">
        <v>10</v>
      </c>
      <c r="V18" s="39">
        <v>10</v>
      </c>
      <c r="W18" s="39">
        <v>10</v>
      </c>
      <c r="X18" s="39">
        <v>10</v>
      </c>
      <c r="AI18" s="2">
        <v>5</v>
      </c>
      <c r="AJ18" s="50" t="s">
        <v>124</v>
      </c>
      <c r="AK18" s="50">
        <v>38</v>
      </c>
      <c r="AL18" s="50">
        <v>1</v>
      </c>
      <c r="AM18" s="50">
        <v>44</v>
      </c>
      <c r="AN18" s="50" t="s">
        <v>124</v>
      </c>
      <c r="AO18" s="50">
        <v>43</v>
      </c>
      <c r="AP18" s="50">
        <v>31</v>
      </c>
      <c r="AQ18" s="50">
        <v>9</v>
      </c>
      <c r="AR18" s="50">
        <v>19</v>
      </c>
      <c r="AS18" s="50" t="s">
        <v>124</v>
      </c>
    </row>
    <row r="19" spans="1:45" ht="25.5" customHeight="1">
      <c r="A19" s="4" t="str">
        <f>INDEX(Prod5_depts,9,1)</f>
        <v>D 9</v>
      </c>
      <c r="B19" s="26">
        <v>9</v>
      </c>
      <c r="C19" s="4">
        <f>INDEX(Prod5_darea,9,1)</f>
        <v>20</v>
      </c>
      <c r="D19" s="28">
        <v>20</v>
      </c>
      <c r="E19" s="28">
        <v>12.5</v>
      </c>
      <c r="F19" s="28">
        <v>2</v>
      </c>
      <c r="G19" s="28">
        <f>$AR$8</f>
        <v>9</v>
      </c>
      <c r="I19">
        <v>9</v>
      </c>
      <c r="J19" s="33">
        <v>4</v>
      </c>
      <c r="K19" s="33">
        <v>4</v>
      </c>
      <c r="L19" s="33">
        <v>4</v>
      </c>
      <c r="M19" s="33">
        <v>4</v>
      </c>
      <c r="N19" s="33">
        <v>4</v>
      </c>
      <c r="O19" s="34">
        <v>5</v>
      </c>
      <c r="P19" s="34">
        <v>5</v>
      </c>
      <c r="Q19" s="34">
        <v>5</v>
      </c>
      <c r="R19" s="34">
        <v>5</v>
      </c>
      <c r="S19" s="34">
        <v>5</v>
      </c>
      <c r="T19" s="39">
        <v>10</v>
      </c>
      <c r="U19" s="39">
        <v>10</v>
      </c>
      <c r="V19" s="39">
        <v>10</v>
      </c>
      <c r="W19" s="39">
        <v>10</v>
      </c>
      <c r="X19" s="39">
        <v>10</v>
      </c>
      <c r="AI19" s="2">
        <v>6</v>
      </c>
      <c r="AJ19" s="50" t="s">
        <v>124</v>
      </c>
      <c r="AK19" s="50">
        <v>18</v>
      </c>
      <c r="AL19" s="50">
        <v>16</v>
      </c>
      <c r="AM19" s="50">
        <v>32</v>
      </c>
      <c r="AN19" s="50">
        <v>19</v>
      </c>
      <c r="AO19" s="50">
        <v>11</v>
      </c>
      <c r="AP19" s="50">
        <v>7</v>
      </c>
      <c r="AQ19" s="50">
        <v>25</v>
      </c>
      <c r="AR19" s="50">
        <v>12</v>
      </c>
      <c r="AS19" s="50" t="s">
        <v>124</v>
      </c>
    </row>
    <row r="20" spans="1:45" ht="25.5" customHeight="1">
      <c r="A20" s="4" t="str">
        <f>INDEX(Prod5_depts,10,1)</f>
        <v>D 10</v>
      </c>
      <c r="B20" s="27">
        <v>10</v>
      </c>
      <c r="C20" s="4">
        <f>INDEX(Prod5_darea,10,1)</f>
        <v>30</v>
      </c>
      <c r="D20" s="28">
        <v>30</v>
      </c>
      <c r="E20" s="28">
        <v>12.5</v>
      </c>
      <c r="F20" s="28">
        <v>7</v>
      </c>
      <c r="G20" s="28">
        <f>$AS$8</f>
        <v>10</v>
      </c>
      <c r="I20">
        <v>10</v>
      </c>
      <c r="J20" s="33">
        <v>4</v>
      </c>
      <c r="K20" s="33">
        <v>4</v>
      </c>
      <c r="L20" s="33">
        <v>4</v>
      </c>
      <c r="M20" s="33">
        <v>4</v>
      </c>
      <c r="N20" s="33">
        <v>4</v>
      </c>
      <c r="O20" s="34">
        <v>5</v>
      </c>
      <c r="P20" s="34">
        <v>5</v>
      </c>
      <c r="Q20" s="34">
        <v>5</v>
      </c>
      <c r="R20" s="34">
        <v>5</v>
      </c>
      <c r="S20" s="34">
        <v>5</v>
      </c>
      <c r="T20" s="39">
        <v>10</v>
      </c>
      <c r="U20" s="39">
        <v>10</v>
      </c>
      <c r="V20" s="39">
        <v>10</v>
      </c>
      <c r="W20" s="39">
        <v>10</v>
      </c>
      <c r="X20" s="39">
        <v>10</v>
      </c>
      <c r="AI20" s="2">
        <v>7</v>
      </c>
      <c r="AJ20" s="50" t="s">
        <v>124</v>
      </c>
      <c r="AK20" s="50">
        <v>11</v>
      </c>
      <c r="AL20" s="50">
        <v>6</v>
      </c>
      <c r="AM20" s="50">
        <v>24</v>
      </c>
      <c r="AN20" s="50" t="s">
        <v>124</v>
      </c>
      <c r="AO20" s="50">
        <v>37</v>
      </c>
      <c r="AP20" s="50">
        <v>26</v>
      </c>
      <c r="AQ20" s="50">
        <v>20</v>
      </c>
      <c r="AR20" s="50">
        <v>37</v>
      </c>
      <c r="AS20" s="50" t="s">
        <v>124</v>
      </c>
    </row>
    <row r="21" spans="9:45" ht="25.5" customHeight="1">
      <c r="I21">
        <v>11</v>
      </c>
      <c r="J21" s="33">
        <v>4</v>
      </c>
      <c r="K21" s="33">
        <v>4</v>
      </c>
      <c r="L21" s="33">
        <v>4</v>
      </c>
      <c r="M21" s="33">
        <v>4</v>
      </c>
      <c r="N21" s="33">
        <v>4</v>
      </c>
      <c r="O21" s="34">
        <v>5</v>
      </c>
      <c r="P21" s="34">
        <v>5</v>
      </c>
      <c r="Q21" s="34">
        <v>5</v>
      </c>
      <c r="R21" s="34">
        <v>5</v>
      </c>
      <c r="S21" s="34">
        <v>5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AI21" s="2">
        <v>8</v>
      </c>
      <c r="AJ21" s="50" t="s">
        <v>124</v>
      </c>
      <c r="AK21" s="50">
        <v>0</v>
      </c>
      <c r="AL21" s="50">
        <v>3</v>
      </c>
      <c r="AM21" s="50">
        <v>30</v>
      </c>
      <c r="AN21" s="50">
        <v>10</v>
      </c>
      <c r="AO21" s="50">
        <v>2</v>
      </c>
      <c r="AP21" s="50">
        <v>3</v>
      </c>
      <c r="AQ21" s="50">
        <v>3</v>
      </c>
      <c r="AR21" s="50">
        <v>14</v>
      </c>
      <c r="AS21" s="50" t="s">
        <v>124</v>
      </c>
    </row>
    <row r="22" spans="35:45" ht="12.75">
      <c r="AI22" s="2">
        <v>9</v>
      </c>
      <c r="AJ22" s="50" t="s">
        <v>124</v>
      </c>
      <c r="AK22" s="50">
        <v>24</v>
      </c>
      <c r="AL22" s="50">
        <v>26</v>
      </c>
      <c r="AM22" s="50">
        <v>13</v>
      </c>
      <c r="AN22" s="50" t="s">
        <v>124</v>
      </c>
      <c r="AO22" s="50">
        <v>1</v>
      </c>
      <c r="AP22" s="50">
        <v>12</v>
      </c>
      <c r="AQ22" s="50">
        <v>18</v>
      </c>
      <c r="AR22" s="50">
        <v>25</v>
      </c>
      <c r="AS22" s="50" t="s">
        <v>124</v>
      </c>
    </row>
    <row r="23" spans="35:45" ht="12.75">
      <c r="AI23" s="2">
        <v>10</v>
      </c>
      <c r="AJ23" s="50" t="s">
        <v>124</v>
      </c>
      <c r="AK23" s="50" t="s">
        <v>124</v>
      </c>
      <c r="AL23" s="50" t="s">
        <v>124</v>
      </c>
      <c r="AM23" s="50" t="s">
        <v>124</v>
      </c>
      <c r="AN23" s="50" t="s">
        <v>124</v>
      </c>
      <c r="AO23" s="50" t="s">
        <v>124</v>
      </c>
      <c r="AP23" s="50" t="s">
        <v>124</v>
      </c>
      <c r="AQ23" s="50" t="s">
        <v>124</v>
      </c>
      <c r="AR23" s="50" t="s">
        <v>124</v>
      </c>
      <c r="AS23" s="5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2004-01-24T23:34:35Z</dcterms:created>
  <cp:category/>
  <cp:version/>
  <cp:contentType/>
  <cp:contentStatus/>
</cp:coreProperties>
</file>