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8520" windowHeight="12760" tabRatio="725" activeTab="7"/>
  </bookViews>
  <sheets>
    <sheet name="TSP1" sheetId="1" r:id="rId1"/>
    <sheet name="TSP1_Graph" sheetId="2" r:id="rId2"/>
    <sheet name="US" sheetId="3" r:id="rId3"/>
    <sheet name="US_Graph" sheetId="4" r:id="rId4"/>
    <sheet name="us_data" sheetId="5" r:id="rId5"/>
    <sheet name="US_2" sheetId="6" r:id="rId6"/>
    <sheet name="US_2_Graph" sheetId="7" r:id="rId7"/>
    <sheet name="Grid12_Graph" sheetId="8" r:id="rId8"/>
    <sheet name="Grid12" sheetId="9" r:id="rId9"/>
    <sheet name="Sheet1" sheetId="10" r:id="rId10"/>
    <sheet name="Sheet2" sheetId="11" r:id="rId11"/>
    <sheet name="Sheet3" sheetId="12" r:id="rId12"/>
  </sheets>
  <externalReferences>
    <externalReference r:id="rId15"/>
  </externalReferences>
  <definedNames>
    <definedName name="Grid12">'Grid12'!$C$3</definedName>
    <definedName name="Grid12_OpAlg">'Grid12'!$F$6</definedName>
    <definedName name="Grid12_OpDir">'Grid12'!$F$4</definedName>
    <definedName name="Grid12_OpFeas">'Grid12'!$H$4</definedName>
    <definedName name="Grid12_OpFeasValue">'Grid12'!$H$5</definedName>
    <definedName name="Grid12_OpInterval">'Grid12'!$T$7</definedName>
    <definedName name="Grid12_OpName">'Grid12'!$D$4</definedName>
    <definedName name="Grid12_OpObj">'Grid12'!$F$5</definedName>
    <definedName name="Grid12_OpObjMatrix">'Grid12'!$D$15:$P$28</definedName>
    <definedName name="Grid12_OpObjTerms">'Grid12'!$D$12:$P$12</definedName>
    <definedName name="Grid12_OpProb">'Grid12'!$D$6</definedName>
    <definedName name="Grid12_OpSequence">'Grid12'!$D$10:$P$10</definedName>
    <definedName name="Grid12_OpShow">'Grid12'!$T$10:$AH$30</definedName>
    <definedName name="Grid12_OpType">'Grid12'!$D$5</definedName>
    <definedName name="Grid12_OpValue">'Grid12'!$D$9:$P$9</definedName>
    <definedName name="Grid12_OpVarName">'Grid12'!$D$8:$P$8</definedName>
    <definedName name="Grid12_x">'Grid12'!$Q$16:$Q$28</definedName>
    <definedName name="Grid12_y">'Grid12'!$R$16:$R$28</definedName>
    <definedName name="TSP1">'TSP1'!$C$3</definedName>
    <definedName name="TSP1_OpAlg">'TSP1'!$F$6</definedName>
    <definedName name="TSP1_OpDir">'TSP1'!$F$4</definedName>
    <definedName name="TSP1_OpFeas">'TSP1'!$H$4</definedName>
    <definedName name="TSP1_OpFeasValue">'TSP1'!$H$5</definedName>
    <definedName name="TSP1_OpInterval">'TSP1'!$N$7</definedName>
    <definedName name="TSP1_OpName">'TSP1'!$D$4</definedName>
    <definedName name="TSP1_OpObj">'TSP1'!$F$5</definedName>
    <definedName name="TSP1_OpObjMatrix">'TSP1'!$D$15:$J$22</definedName>
    <definedName name="TSP1_OpObjTerms">'TSP1'!$D$12:$J$12</definedName>
    <definedName name="TSP1_OpProb">'TSP1'!$D$6</definedName>
    <definedName name="TSP1_OpSequence">'TSP1'!$D$10:$J$10</definedName>
    <definedName name="TSP1_OpShow">'TSP1'!$N$10:$V$30</definedName>
    <definedName name="TSP1_OpType">'TSP1'!$D$5</definedName>
    <definedName name="TSP1_OpValue">'TSP1'!$D$9:$J$9</definedName>
    <definedName name="TSP1_OpVarName">'TSP1'!$D$8:$J$8</definedName>
    <definedName name="TSP1_x">'TSP1'!$K$16:$K$22</definedName>
    <definedName name="TSP1_y">'TSP1'!$L$16:$L$22</definedName>
    <definedName name="US">'US'!$C$3</definedName>
    <definedName name="US_2">'US_2'!$C$3</definedName>
    <definedName name="US_2_OpAlg">'US_2'!$F$6</definedName>
    <definedName name="US_2_OpDir">'US_2'!$F$4</definedName>
    <definedName name="US_2_OpFeas">'US_2'!$H$4</definedName>
    <definedName name="US_2_OpFeasValue">'US_2'!$H$5</definedName>
    <definedName name="US_2_OpInterval">'US_2'!$BD$7</definedName>
    <definedName name="US_2_OpName">'US_2'!$D$4</definedName>
    <definedName name="US_2_OpObj">'US_2'!$F$5</definedName>
    <definedName name="US_2_OpObjMatrix">'US_2'!$D$15:$AZ$64</definedName>
    <definedName name="US_2_OpObjTerms">'US_2'!$D$12:$AZ$12</definedName>
    <definedName name="US_2_OpProb">'US_2'!$D$6</definedName>
    <definedName name="US_2_OpSequence">'US_2'!$D$10:$AZ$10</definedName>
    <definedName name="US_2_OpShow">'US_2'!$BD$10:$DB$30</definedName>
    <definedName name="US_2_OpType">'US_2'!$D$5</definedName>
    <definedName name="US_2_OpValue">'US_2'!$D$9:$AZ$9</definedName>
    <definedName name="US_2_OpVarName">'US_2'!$D$8:$AZ$8</definedName>
    <definedName name="US_2_x">'US_2'!$BA$16:$BA$64</definedName>
    <definedName name="US_2_y">'US_2'!$BB$16:$BB$64</definedName>
    <definedName name="US_OpAlg">'US'!$F$6</definedName>
    <definedName name="US_OpDir">'US'!$F$4</definedName>
    <definedName name="US_OpFeas">'US'!$H$4</definedName>
    <definedName name="US_OpFeasValue">'US'!$H$5</definedName>
    <definedName name="US_OpInterval">'US'!$BD$7</definedName>
    <definedName name="US_OpName">'US'!$D$4</definedName>
    <definedName name="US_OpObj">'US'!$F$5</definedName>
    <definedName name="US_OpObjMatrix">'US'!$D$15:$AZ$64</definedName>
    <definedName name="US_OpObjTerms">'US'!$D$12:$AZ$12</definedName>
    <definedName name="US_OpProb">'US'!$D$6</definedName>
    <definedName name="US_OpSequence">'US'!$D$10:$AZ$10</definedName>
    <definedName name="US_OpShow">'US'!$BD$10:$DB$30</definedName>
    <definedName name="US_OpType">'US'!$D$5</definedName>
    <definedName name="US_OpValue">'US'!$D$9:$AZ$9</definedName>
    <definedName name="US_OpVarName">'US'!$D$8:$AZ$8</definedName>
    <definedName name="US_x">'US'!$BA$16:$BA$64</definedName>
    <definedName name="US_y">'US'!$BB$16:$BB$64</definedName>
  </definedNames>
  <calcPr fullCalcOnLoad="1"/>
</workbook>
</file>

<file path=xl/sharedStrings.xml><?xml version="1.0" encoding="utf-8"?>
<sst xmlns="http://schemas.openxmlformats.org/spreadsheetml/2006/main" count="706" uniqueCount="108">
  <si>
    <t>Traveling Salesman Problem</t>
  </si>
  <si>
    <t>Optimize</t>
  </si>
  <si>
    <t>Objective</t>
  </si>
  <si>
    <t>Feasible</t>
  </si>
  <si>
    <t>Dir.</t>
  </si>
  <si>
    <t>Value</t>
  </si>
  <si>
    <t>Min</t>
  </si>
  <si>
    <t>State</t>
  </si>
  <si>
    <t>Name</t>
  </si>
  <si>
    <t>TSP1</t>
  </si>
  <si>
    <t>Search Method</t>
  </si>
  <si>
    <t>Problem</t>
  </si>
  <si>
    <t>TSP</t>
  </si>
  <si>
    <t>Algorithm</t>
  </si>
  <si>
    <t>None</t>
  </si>
  <si>
    <t>From Node</t>
  </si>
  <si>
    <t>x1</t>
  </si>
  <si>
    <t>x2</t>
  </si>
  <si>
    <t>x3</t>
  </si>
  <si>
    <t>x4</t>
  </si>
  <si>
    <t>x5</t>
  </si>
  <si>
    <t>x6</t>
  </si>
  <si>
    <t>x7</t>
  </si>
  <si>
    <t>x1-ret.</t>
  </si>
  <si>
    <t>To Node</t>
  </si>
  <si>
    <t>Sequence</t>
  </si>
  <si>
    <t>Obj. Terms</t>
  </si>
  <si>
    <t>C(To,From)</t>
  </si>
  <si>
    <t>x</t>
  </si>
  <si>
    <t>y</t>
  </si>
  <si>
    <t>***</t>
  </si>
  <si>
    <t>Search</t>
  </si>
  <si>
    <t>Map</t>
  </si>
  <si>
    <t>TSP1 Graph</t>
  </si>
  <si>
    <t>Index:</t>
  </si>
  <si>
    <t>Sequence:</t>
  </si>
  <si>
    <t>Exhaustive</t>
  </si>
  <si>
    <t>Sorted Feasible Solutions</t>
  </si>
  <si>
    <t>Run</t>
  </si>
  <si>
    <t>Obj.</t>
  </si>
  <si>
    <t>Best Obj.:</t>
  </si>
  <si>
    <t>Search time:</t>
  </si>
  <si>
    <t>seconds</t>
  </si>
  <si>
    <t>Runs:</t>
  </si>
  <si>
    <t>Enum.:</t>
  </si>
  <si>
    <t>Imp.:</t>
  </si>
  <si>
    <t>Complete:</t>
  </si>
  <si>
    <t>Stop Interval:</t>
  </si>
  <si>
    <t>Optimum</t>
  </si>
  <si>
    <t>Current Sol. with Improvements</t>
  </si>
  <si>
    <t>US</t>
  </si>
  <si>
    <t>Current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</si>
  <si>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</si>
  <si>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</si>
  <si>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</si>
  <si>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</si>
  <si>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</si>
  <si>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</si>
  <si>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</si>
  <si>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</si>
  <si>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</si>
  <si>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</si>
  <si>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</si>
  <si>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</si>
  <si>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</si>
  <si>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</si>
  <si>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</si>
  <si>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</si>
  <si>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</si>
  <si>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</si>
  <si>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</si>
  <si>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</si>
  <si>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</si>
  <si>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</si>
  <si>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</si>
  <si>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</si>
  <si>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</si>
  <si>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</si>
  <si>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</si>
  <si>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</si>
  <si>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</si>
  <si>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</si>
  <si>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</si>
  <si>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</si>
  <si>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</si>
  <si>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</si>
  <si>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</si>
  <si>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</si>
  <si>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</si>
  <si>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</si>
  <si>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</si>
  <si>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</si>
  <si>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</si>
  <si>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US Graph</t>
  </si>
  <si>
    <t>City</t>
  </si>
  <si>
    <t>x/100</t>
  </si>
  <si>
    <t>y/100</t>
  </si>
  <si>
    <t>Seq no.</t>
  </si>
  <si>
    <t>Tour</t>
  </si>
  <si>
    <t>seq_pos</t>
  </si>
  <si>
    <t>Dec</t>
  </si>
  <si>
    <t>xxx</t>
  </si>
  <si>
    <t>US_2</t>
  </si>
  <si>
    <t>US_2 Graph</t>
  </si>
  <si>
    <t>Grid12</t>
  </si>
  <si>
    <t>Grid12 Graph</t>
  </si>
  <si>
    <t>Greedy</t>
  </si>
  <si>
    <t>Greedy Sol.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</si>
</sst>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b/>
      <sz val="10"/>
      <color indexed="10"/>
      <name val="Verdana"/>
      <family val="0"/>
    </font>
    <font>
      <sz val="12"/>
      <name val="Lucida Grande"/>
      <family val="0"/>
    </font>
    <font>
      <sz val="12"/>
      <name val="Verdana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4"/>
      <name val="Geneva"/>
      <family val="0"/>
    </font>
    <font>
      <sz val="8"/>
      <name val="Verdana"/>
      <family val="0"/>
    </font>
    <font>
      <b/>
      <sz val="9"/>
      <color indexed="10"/>
      <name val="Geneva"/>
      <family val="0"/>
    </font>
    <font>
      <b/>
      <sz val="9"/>
      <name val="Geneva"/>
      <family val="0"/>
    </font>
    <font>
      <sz val="12"/>
      <name val="Charcoal"/>
      <family val="0"/>
    </font>
    <font>
      <sz val="12"/>
      <name val="Times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4" borderId="2" xfId="0" applyFill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3" borderId="4" xfId="0" applyFill="1" applyBorder="1" applyAlignment="1">
      <alignment horizontal="right"/>
    </xf>
    <xf numFmtId="0" fontId="11" fillId="0" borderId="0" xfId="21" applyFont="1">
      <alignment/>
      <protection/>
    </xf>
    <xf numFmtId="0" fontId="8" fillId="0" borderId="0" xfId="21">
      <alignment/>
      <protection/>
    </xf>
    <xf numFmtId="0" fontId="13" fillId="0" borderId="0" xfId="21" applyFont="1" applyAlignment="1">
      <alignment horizontal="left"/>
      <protection/>
    </xf>
    <xf numFmtId="0" fontId="14" fillId="0" borderId="0" xfId="21" applyFont="1" applyAlignment="1">
      <alignment horizontal="right"/>
      <protection/>
    </xf>
    <xf numFmtId="0" fontId="8" fillId="0" borderId="0" xfId="21" applyAlignment="1">
      <alignment horizontal="center"/>
      <protection/>
    </xf>
    <xf numFmtId="0" fontId="8" fillId="0" borderId="0" xfId="21" applyAlignment="1">
      <alignment horizontal="right"/>
      <protection/>
    </xf>
    <xf numFmtId="0" fontId="8" fillId="2" borderId="1" xfId="21" applyFill="1" applyBorder="1">
      <alignment/>
      <protection/>
    </xf>
    <xf numFmtId="0" fontId="8" fillId="2" borderId="1" xfId="21" applyFill="1" applyBorder="1" applyAlignment="1">
      <alignment horizontal="center"/>
      <protection/>
    </xf>
    <xf numFmtId="0" fontId="8" fillId="3" borderId="1" xfId="21" applyFill="1" applyBorder="1" applyAlignment="1">
      <alignment horizontal="right"/>
      <protection/>
    </xf>
    <xf numFmtId="0" fontId="8" fillId="2" borderId="1" xfId="21" applyFill="1" applyBorder="1" applyAlignment="1">
      <alignment horizontal="right"/>
      <protection/>
    </xf>
    <xf numFmtId="0" fontId="8" fillId="4" borderId="2" xfId="21" applyFill="1" applyBorder="1" applyAlignment="1">
      <alignment horizontal="right"/>
      <protection/>
    </xf>
    <xf numFmtId="2" fontId="8" fillId="0" borderId="0" xfId="21" applyNumberFormat="1" applyAlignment="1">
      <alignment horizontal="center"/>
      <protection/>
    </xf>
    <xf numFmtId="0" fontId="8" fillId="3" borderId="4" xfId="21" applyFill="1" applyBorder="1" applyAlignment="1">
      <alignment horizontal="right"/>
      <protection/>
    </xf>
    <xf numFmtId="2" fontId="8" fillId="0" borderId="2" xfId="21" applyNumberFormat="1" applyBorder="1" applyAlignment="1">
      <alignment horizontal="center"/>
      <protection/>
    </xf>
    <xf numFmtId="0" fontId="16" fillId="0" borderId="0" xfId="21" applyFont="1">
      <alignment/>
      <protection/>
    </xf>
    <xf numFmtId="0" fontId="8" fillId="0" borderId="0" xfId="21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b_us_tsp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16</xdr:row>
      <xdr:rowOff>9525</xdr:rowOff>
    </xdr:from>
    <xdr:to>
      <xdr:col>9</xdr:col>
      <xdr:colOff>95250</xdr:colOff>
      <xdr:row>16</xdr:row>
      <xdr:rowOff>266700</xdr:rowOff>
    </xdr:to>
    <xdr:sp>
      <xdr:nvSpPr>
        <xdr:cNvPr id="1" name="Oval 1"/>
        <xdr:cNvSpPr>
          <a:spLocks/>
        </xdr:cNvSpPr>
      </xdr:nvSpPr>
      <xdr:spPr>
        <a:xfrm>
          <a:off x="4295775" y="6257925"/>
          <a:ext cx="219075" cy="247650"/>
        </a:xfrm>
        <a:prstGeom prst="ellipse">
          <a:avLst/>
        </a:prstGeom>
        <a:solidFill>
          <a:srgbClr val="FFCC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19050</xdr:colOff>
      <xdr:row>16</xdr:row>
      <xdr:rowOff>171450</xdr:rowOff>
    </xdr:from>
    <xdr:ext cx="276225" cy="238125"/>
    <xdr:sp>
      <xdr:nvSpPr>
        <xdr:cNvPr id="2" name="TextBox 2"/>
        <xdr:cNvSpPr txBox="1">
          <a:spLocks noChangeArrowheads="1"/>
        </xdr:cNvSpPr>
      </xdr:nvSpPr>
      <xdr:spPr>
        <a:xfrm>
          <a:off x="4438650" y="6419850"/>
          <a:ext cx="2762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</a:t>
          </a:r>
        </a:p>
      </xdr:txBody>
    </xdr:sp>
    <xdr:clientData/>
  </xdr:oneCellAnchor>
  <xdr:twoCellAnchor>
    <xdr:from>
      <xdr:col>12</xdr:col>
      <xdr:colOff>9525</xdr:colOff>
      <xdr:row>4</xdr:row>
      <xdr:rowOff>333375</xdr:rowOff>
    </xdr:from>
    <xdr:to>
      <xdr:col>12</xdr:col>
      <xdr:colOff>228600</xdr:colOff>
      <xdr:row>5</xdr:row>
      <xdr:rowOff>152400</xdr:rowOff>
    </xdr:to>
    <xdr:sp>
      <xdr:nvSpPr>
        <xdr:cNvPr id="3" name="Oval 3"/>
        <xdr:cNvSpPr>
          <a:spLocks/>
        </xdr:cNvSpPr>
      </xdr:nvSpPr>
      <xdr:spPr>
        <a:xfrm>
          <a:off x="5743575" y="132397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152400</xdr:colOff>
      <xdr:row>5</xdr:row>
      <xdr:rowOff>66675</xdr:rowOff>
    </xdr:from>
    <xdr:ext cx="276225" cy="238125"/>
    <xdr:sp>
      <xdr:nvSpPr>
        <xdr:cNvPr id="4" name="TextBox 4"/>
        <xdr:cNvSpPr txBox="1">
          <a:spLocks noChangeArrowheads="1"/>
        </xdr:cNvSpPr>
      </xdr:nvSpPr>
      <xdr:spPr>
        <a:xfrm>
          <a:off x="5886450" y="1495425"/>
          <a:ext cx="2762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</a:t>
          </a:r>
        </a:p>
      </xdr:txBody>
    </xdr:sp>
    <xdr:clientData/>
  </xdr:oneCellAnchor>
  <xdr:twoCellAnchor>
    <xdr:from>
      <xdr:col>11</xdr:col>
      <xdr:colOff>352425</xdr:colOff>
      <xdr:row>18</xdr:row>
      <xdr:rowOff>85725</xdr:rowOff>
    </xdr:from>
    <xdr:to>
      <xdr:col>12</xdr:col>
      <xdr:colOff>133350</xdr:colOff>
      <xdr:row>18</xdr:row>
      <xdr:rowOff>333375</xdr:rowOff>
    </xdr:to>
    <xdr:sp>
      <xdr:nvSpPr>
        <xdr:cNvPr id="5" name="Oval 5"/>
        <xdr:cNvSpPr>
          <a:spLocks/>
        </xdr:cNvSpPr>
      </xdr:nvSpPr>
      <xdr:spPr>
        <a:xfrm>
          <a:off x="5648325" y="72104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57150</xdr:colOff>
      <xdr:row>18</xdr:row>
      <xdr:rowOff>247650</xdr:rowOff>
    </xdr:from>
    <xdr:ext cx="276225" cy="257175"/>
    <xdr:sp>
      <xdr:nvSpPr>
        <xdr:cNvPr id="6" name="TextBox 6"/>
        <xdr:cNvSpPr txBox="1">
          <a:spLocks noChangeArrowheads="1"/>
        </xdr:cNvSpPr>
      </xdr:nvSpPr>
      <xdr:spPr>
        <a:xfrm>
          <a:off x="5791200" y="7372350"/>
          <a:ext cx="2762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</a:t>
          </a:r>
        </a:p>
      </xdr:txBody>
    </xdr:sp>
    <xdr:clientData/>
  </xdr:oneCellAnchor>
  <xdr:twoCellAnchor>
    <xdr:from>
      <xdr:col>2</xdr:col>
      <xdr:colOff>304800</xdr:colOff>
      <xdr:row>8</xdr:row>
      <xdr:rowOff>66675</xdr:rowOff>
    </xdr:from>
    <xdr:to>
      <xdr:col>3</xdr:col>
      <xdr:colOff>85725</xdr:colOff>
      <xdr:row>8</xdr:row>
      <xdr:rowOff>314325</xdr:rowOff>
    </xdr:to>
    <xdr:sp>
      <xdr:nvSpPr>
        <xdr:cNvPr id="7" name="Oval 7"/>
        <xdr:cNvSpPr>
          <a:spLocks/>
        </xdr:cNvSpPr>
      </xdr:nvSpPr>
      <xdr:spPr>
        <a:xfrm>
          <a:off x="1657350" y="28098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</xdr:col>
      <xdr:colOff>9525</xdr:colOff>
      <xdr:row>8</xdr:row>
      <xdr:rowOff>228600</xdr:rowOff>
    </xdr:from>
    <xdr:ext cx="276225" cy="238125"/>
    <xdr:sp>
      <xdr:nvSpPr>
        <xdr:cNvPr id="8" name="TextBox 8"/>
        <xdr:cNvSpPr txBox="1">
          <a:spLocks noChangeArrowheads="1"/>
        </xdr:cNvSpPr>
      </xdr:nvSpPr>
      <xdr:spPr>
        <a:xfrm>
          <a:off x="1800225" y="2971800"/>
          <a:ext cx="2762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</a:t>
          </a:r>
        </a:p>
      </xdr:txBody>
    </xdr:sp>
    <xdr:clientData/>
  </xdr:oneCellAnchor>
  <xdr:twoCellAnchor>
    <xdr:from>
      <xdr:col>16</xdr:col>
      <xdr:colOff>57150</xdr:colOff>
      <xdr:row>8</xdr:row>
      <xdr:rowOff>314325</xdr:rowOff>
    </xdr:from>
    <xdr:to>
      <xdr:col>16</xdr:col>
      <xdr:colOff>276225</xdr:colOff>
      <xdr:row>9</xdr:row>
      <xdr:rowOff>123825</xdr:rowOff>
    </xdr:to>
    <xdr:sp>
      <xdr:nvSpPr>
        <xdr:cNvPr id="9" name="Oval 9"/>
        <xdr:cNvSpPr>
          <a:spLocks/>
        </xdr:cNvSpPr>
      </xdr:nvSpPr>
      <xdr:spPr>
        <a:xfrm>
          <a:off x="7543800" y="30575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16</xdr:col>
      <xdr:colOff>200025</xdr:colOff>
      <xdr:row>9</xdr:row>
      <xdr:rowOff>38100</xdr:rowOff>
    </xdr:from>
    <xdr:ext cx="266700" cy="247650"/>
    <xdr:sp>
      <xdr:nvSpPr>
        <xdr:cNvPr id="10" name="TextBox 10"/>
        <xdr:cNvSpPr txBox="1">
          <a:spLocks noChangeArrowheads="1"/>
        </xdr:cNvSpPr>
      </xdr:nvSpPr>
      <xdr:spPr>
        <a:xfrm>
          <a:off x="7686675" y="3219450"/>
          <a:ext cx="2667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x5</a:t>
          </a:r>
        </a:p>
      </xdr:txBody>
    </xdr:sp>
    <xdr:clientData/>
  </xdr:oneCellAnchor>
  <xdr:twoCellAnchor>
    <xdr:from>
      <xdr:col>16</xdr:col>
      <xdr:colOff>409575</xdr:colOff>
      <xdr:row>5</xdr:row>
      <xdr:rowOff>266700</xdr:rowOff>
    </xdr:from>
    <xdr:to>
      <xdr:col>17</xdr:col>
      <xdr:colOff>190500</xdr:colOff>
      <xdr:row>6</xdr:row>
      <xdr:rowOff>76200</xdr:rowOff>
    </xdr:to>
    <xdr:sp>
      <xdr:nvSpPr>
        <xdr:cNvPr id="11" name="Oval 11"/>
        <xdr:cNvSpPr>
          <a:spLocks/>
        </xdr:cNvSpPr>
      </xdr:nvSpPr>
      <xdr:spPr>
        <a:xfrm>
          <a:off x="7896225" y="16954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17</xdr:col>
      <xdr:colOff>114300</xdr:colOff>
      <xdr:row>5</xdr:row>
      <xdr:rowOff>428625</xdr:rowOff>
    </xdr:from>
    <xdr:ext cx="276225" cy="238125"/>
    <xdr:sp>
      <xdr:nvSpPr>
        <xdr:cNvPr id="12" name="TextBox 12"/>
        <xdr:cNvSpPr txBox="1">
          <a:spLocks noChangeArrowheads="1"/>
        </xdr:cNvSpPr>
      </xdr:nvSpPr>
      <xdr:spPr>
        <a:xfrm>
          <a:off x="8039100" y="1857375"/>
          <a:ext cx="2762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x6</a:t>
          </a:r>
        </a:p>
      </xdr:txBody>
    </xdr:sp>
    <xdr:clientData/>
  </xdr:oneCellAnchor>
  <xdr:twoCellAnchor>
    <xdr:from>
      <xdr:col>9</xdr:col>
      <xdr:colOff>85725</xdr:colOff>
      <xdr:row>16</xdr:row>
      <xdr:rowOff>209550</xdr:rowOff>
    </xdr:from>
    <xdr:to>
      <xdr:col>11</xdr:col>
      <xdr:colOff>361950</xdr:colOff>
      <xdr:row>18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4505325" y="6457950"/>
          <a:ext cx="1152525" cy="819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85725</xdr:colOff>
      <xdr:row>5</xdr:row>
      <xdr:rowOff>66675</xdr:rowOff>
    </xdr:from>
    <xdr:to>
      <xdr:col>12</xdr:col>
      <xdr:colOff>19050</xdr:colOff>
      <xdr:row>8</xdr:row>
      <xdr:rowOff>152400</xdr:rowOff>
    </xdr:to>
    <xdr:sp>
      <xdr:nvSpPr>
        <xdr:cNvPr id="14" name="Line 14"/>
        <xdr:cNvSpPr>
          <a:spLocks/>
        </xdr:cNvSpPr>
      </xdr:nvSpPr>
      <xdr:spPr>
        <a:xfrm flipH="1">
          <a:off x="1876425" y="1495425"/>
          <a:ext cx="3876675" cy="1400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66675</xdr:colOff>
      <xdr:row>9</xdr:row>
      <xdr:rowOff>114300</xdr:rowOff>
    </xdr:from>
    <xdr:to>
      <xdr:col>16</xdr:col>
      <xdr:colOff>123825</xdr:colOff>
      <xdr:row>18</xdr:row>
      <xdr:rowOff>104775</xdr:rowOff>
    </xdr:to>
    <xdr:sp>
      <xdr:nvSpPr>
        <xdr:cNvPr id="15" name="Line 15"/>
        <xdr:cNvSpPr>
          <a:spLocks/>
        </xdr:cNvSpPr>
      </xdr:nvSpPr>
      <xdr:spPr>
        <a:xfrm flipV="1">
          <a:off x="5800725" y="3295650"/>
          <a:ext cx="1809750" cy="393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57150</xdr:colOff>
      <xdr:row>8</xdr:row>
      <xdr:rowOff>276225</xdr:rowOff>
    </xdr:from>
    <xdr:to>
      <xdr:col>8</xdr:col>
      <xdr:colOff>361950</xdr:colOff>
      <xdr:row>16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1847850" y="3019425"/>
          <a:ext cx="2495550" cy="3276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16</xdr:col>
      <xdr:colOff>200025</xdr:colOff>
      <xdr:row>6</xdr:row>
      <xdr:rowOff>76200</xdr:rowOff>
    </xdr:from>
    <xdr:to>
      <xdr:col>17</xdr:col>
      <xdr:colOff>47625</xdr:colOff>
      <xdr:row>8</xdr:row>
      <xdr:rowOff>323850</xdr:rowOff>
    </xdr:to>
    <xdr:sp>
      <xdr:nvSpPr>
        <xdr:cNvPr id="17" name="Line 17"/>
        <xdr:cNvSpPr>
          <a:spLocks/>
        </xdr:cNvSpPr>
      </xdr:nvSpPr>
      <xdr:spPr>
        <a:xfrm flipV="1">
          <a:off x="7686675" y="1943100"/>
          <a:ext cx="285750" cy="1123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228600</xdr:colOff>
      <xdr:row>5</xdr:row>
      <xdr:rowOff>38100</xdr:rowOff>
    </xdr:from>
    <xdr:to>
      <xdr:col>16</xdr:col>
      <xdr:colOff>409575</xdr:colOff>
      <xdr:row>5</xdr:row>
      <xdr:rowOff>361950</xdr:rowOff>
    </xdr:to>
    <xdr:sp>
      <xdr:nvSpPr>
        <xdr:cNvPr id="18" name="Line 18"/>
        <xdr:cNvSpPr>
          <a:spLocks/>
        </xdr:cNvSpPr>
      </xdr:nvSpPr>
      <xdr:spPr>
        <a:xfrm flipH="1" flipV="1">
          <a:off x="5962650" y="1466850"/>
          <a:ext cx="1933575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28575</xdr:colOff>
      <xdr:row>42</xdr:row>
      <xdr:rowOff>76200</xdr:rowOff>
    </xdr:from>
    <xdr:to>
      <xdr:col>69</xdr:col>
      <xdr:colOff>247650</xdr:colOff>
      <xdr:row>42</xdr:row>
      <xdr:rowOff>323850</xdr:rowOff>
    </xdr:to>
    <xdr:sp>
      <xdr:nvSpPr>
        <xdr:cNvPr id="1" name="Oval 1"/>
        <xdr:cNvSpPr>
          <a:spLocks/>
        </xdr:cNvSpPr>
      </xdr:nvSpPr>
      <xdr:spPr>
        <a:xfrm>
          <a:off x="31061025" y="17716500"/>
          <a:ext cx="219075" cy="247650"/>
        </a:xfrm>
        <a:prstGeom prst="ellipse">
          <a:avLst/>
        </a:prstGeom>
        <a:solidFill>
          <a:srgbClr val="FFCC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69</xdr:col>
      <xdr:colOff>161925</xdr:colOff>
      <xdr:row>42</xdr:row>
      <xdr:rowOff>247650</xdr:rowOff>
    </xdr:from>
    <xdr:ext cx="438150" cy="438150"/>
    <xdr:sp>
      <xdr:nvSpPr>
        <xdr:cNvPr id="2" name="TextBox 2"/>
        <xdr:cNvSpPr txBox="1">
          <a:spLocks noChangeArrowheads="1"/>
        </xdr:cNvSpPr>
      </xdr:nvSpPr>
      <xdr:spPr>
        <a:xfrm>
          <a:off x="31194375" y="178879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</a:t>
          </a:r>
        </a:p>
      </xdr:txBody>
    </xdr:sp>
    <xdr:clientData/>
  </xdr:oneCellAnchor>
  <xdr:twoCellAnchor>
    <xdr:from>
      <xdr:col>24</xdr:col>
      <xdr:colOff>28575</xdr:colOff>
      <xdr:row>56</xdr:row>
      <xdr:rowOff>266700</xdr:rowOff>
    </xdr:from>
    <xdr:to>
      <xdr:col>24</xdr:col>
      <xdr:colOff>247650</xdr:colOff>
      <xdr:row>57</xdr:row>
      <xdr:rowOff>76200</xdr:rowOff>
    </xdr:to>
    <xdr:sp>
      <xdr:nvSpPr>
        <xdr:cNvPr id="3" name="Oval 3"/>
        <xdr:cNvSpPr>
          <a:spLocks/>
        </xdr:cNvSpPr>
      </xdr:nvSpPr>
      <xdr:spPr>
        <a:xfrm>
          <a:off x="11344275" y="240411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24</xdr:col>
      <xdr:colOff>161925</xdr:colOff>
      <xdr:row>57</xdr:row>
      <xdr:rowOff>0</xdr:rowOff>
    </xdr:from>
    <xdr:ext cx="438150" cy="438150"/>
    <xdr:sp>
      <xdr:nvSpPr>
        <xdr:cNvPr id="4" name="TextBox 4"/>
        <xdr:cNvSpPr txBox="1">
          <a:spLocks noChangeArrowheads="1"/>
        </xdr:cNvSpPr>
      </xdr:nvSpPr>
      <xdr:spPr>
        <a:xfrm>
          <a:off x="11477625" y="242125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</a:t>
          </a:r>
        </a:p>
      </xdr:txBody>
    </xdr:sp>
    <xdr:clientData/>
  </xdr:oneCellAnchor>
  <xdr:twoCellAnchor>
    <xdr:from>
      <xdr:col>57</xdr:col>
      <xdr:colOff>19050</xdr:colOff>
      <xdr:row>42</xdr:row>
      <xdr:rowOff>200025</xdr:rowOff>
    </xdr:from>
    <xdr:to>
      <xdr:col>57</xdr:col>
      <xdr:colOff>238125</xdr:colOff>
      <xdr:row>43</xdr:row>
      <xdr:rowOff>9525</xdr:rowOff>
    </xdr:to>
    <xdr:sp>
      <xdr:nvSpPr>
        <xdr:cNvPr id="5" name="Oval 5"/>
        <xdr:cNvSpPr>
          <a:spLocks/>
        </xdr:cNvSpPr>
      </xdr:nvSpPr>
      <xdr:spPr>
        <a:xfrm>
          <a:off x="25793700" y="178403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57</xdr:col>
      <xdr:colOff>161925</xdr:colOff>
      <xdr:row>42</xdr:row>
      <xdr:rowOff>371475</xdr:rowOff>
    </xdr:from>
    <xdr:ext cx="438150" cy="438150"/>
    <xdr:sp>
      <xdr:nvSpPr>
        <xdr:cNvPr id="6" name="TextBox 6"/>
        <xdr:cNvSpPr txBox="1">
          <a:spLocks noChangeArrowheads="1"/>
        </xdr:cNvSpPr>
      </xdr:nvSpPr>
      <xdr:spPr>
        <a:xfrm>
          <a:off x="25936575" y="18011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</a:t>
          </a:r>
        </a:p>
      </xdr:txBody>
    </xdr:sp>
    <xdr:clientData/>
  </xdr:oneCellAnchor>
  <xdr:twoCellAnchor>
    <xdr:from>
      <xdr:col>5</xdr:col>
      <xdr:colOff>333375</xdr:colOff>
      <xdr:row>48</xdr:row>
      <xdr:rowOff>123825</xdr:rowOff>
    </xdr:from>
    <xdr:to>
      <xdr:col>6</xdr:col>
      <xdr:colOff>114300</xdr:colOff>
      <xdr:row>48</xdr:row>
      <xdr:rowOff>371475</xdr:rowOff>
    </xdr:to>
    <xdr:sp>
      <xdr:nvSpPr>
        <xdr:cNvPr id="7" name="Oval 7"/>
        <xdr:cNvSpPr>
          <a:spLocks/>
        </xdr:cNvSpPr>
      </xdr:nvSpPr>
      <xdr:spPr>
        <a:xfrm>
          <a:off x="3324225" y="203930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57150</xdr:colOff>
      <xdr:row>48</xdr:row>
      <xdr:rowOff>247650</xdr:rowOff>
    </xdr:from>
    <xdr:ext cx="438150" cy="438150"/>
    <xdr:sp>
      <xdr:nvSpPr>
        <xdr:cNvPr id="8" name="TextBox 8"/>
        <xdr:cNvSpPr txBox="1">
          <a:spLocks noChangeArrowheads="1"/>
        </xdr:cNvSpPr>
      </xdr:nvSpPr>
      <xdr:spPr>
        <a:xfrm>
          <a:off x="3486150" y="205168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</a:t>
          </a:r>
        </a:p>
      </xdr:txBody>
    </xdr:sp>
    <xdr:clientData/>
  </xdr:oneCellAnchor>
  <xdr:twoCellAnchor>
    <xdr:from>
      <xdr:col>32</xdr:col>
      <xdr:colOff>238125</xdr:colOff>
      <xdr:row>40</xdr:row>
      <xdr:rowOff>114300</xdr:rowOff>
    </xdr:from>
    <xdr:to>
      <xdr:col>33</xdr:col>
      <xdr:colOff>19050</xdr:colOff>
      <xdr:row>40</xdr:row>
      <xdr:rowOff>361950</xdr:rowOff>
    </xdr:to>
    <xdr:sp>
      <xdr:nvSpPr>
        <xdr:cNvPr id="9" name="Oval 9"/>
        <xdr:cNvSpPr>
          <a:spLocks/>
        </xdr:cNvSpPr>
      </xdr:nvSpPr>
      <xdr:spPr>
        <a:xfrm>
          <a:off x="15059025" y="168783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32</xdr:col>
      <xdr:colOff>381000</xdr:colOff>
      <xdr:row>40</xdr:row>
      <xdr:rowOff>247650</xdr:rowOff>
    </xdr:from>
    <xdr:ext cx="438150" cy="438150"/>
    <xdr:sp>
      <xdr:nvSpPr>
        <xdr:cNvPr id="10" name="TextBox 10"/>
        <xdr:cNvSpPr txBox="1">
          <a:spLocks noChangeArrowheads="1"/>
        </xdr:cNvSpPr>
      </xdr:nvSpPr>
      <xdr:spPr>
        <a:xfrm>
          <a:off x="15201900" y="170116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x5</a:t>
          </a:r>
        </a:p>
      </xdr:txBody>
    </xdr:sp>
    <xdr:clientData/>
  </xdr:oneCellAnchor>
  <xdr:twoCellAnchor>
    <xdr:from>
      <xdr:col>77</xdr:col>
      <xdr:colOff>361950</xdr:colOff>
      <xdr:row>12</xdr:row>
      <xdr:rowOff>47625</xdr:rowOff>
    </xdr:from>
    <xdr:to>
      <xdr:col>78</xdr:col>
      <xdr:colOff>142875</xdr:colOff>
      <xdr:row>12</xdr:row>
      <xdr:rowOff>304800</xdr:rowOff>
    </xdr:to>
    <xdr:sp>
      <xdr:nvSpPr>
        <xdr:cNvPr id="11" name="Oval 11"/>
        <xdr:cNvSpPr>
          <a:spLocks/>
        </xdr:cNvSpPr>
      </xdr:nvSpPr>
      <xdr:spPr>
        <a:xfrm>
          <a:off x="34899600" y="45434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78</xdr:col>
      <xdr:colOff>57150</xdr:colOff>
      <xdr:row>12</xdr:row>
      <xdr:rowOff>247650</xdr:rowOff>
    </xdr:from>
    <xdr:ext cx="438150" cy="438150"/>
    <xdr:sp>
      <xdr:nvSpPr>
        <xdr:cNvPr id="12" name="TextBox 12"/>
        <xdr:cNvSpPr txBox="1">
          <a:spLocks noChangeArrowheads="1"/>
        </xdr:cNvSpPr>
      </xdr:nvSpPr>
      <xdr:spPr>
        <a:xfrm>
          <a:off x="35032950" y="47434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x6</a:t>
          </a:r>
        </a:p>
      </xdr:txBody>
    </xdr:sp>
    <xdr:clientData/>
  </xdr:oneCellAnchor>
  <xdr:twoCellAnchor>
    <xdr:from>
      <xdr:col>77</xdr:col>
      <xdr:colOff>209550</xdr:colOff>
      <xdr:row>19</xdr:row>
      <xdr:rowOff>238125</xdr:rowOff>
    </xdr:from>
    <xdr:to>
      <xdr:col>77</xdr:col>
      <xdr:colOff>428625</xdr:colOff>
      <xdr:row>20</xdr:row>
      <xdr:rowOff>47625</xdr:rowOff>
    </xdr:to>
    <xdr:sp>
      <xdr:nvSpPr>
        <xdr:cNvPr id="13" name="Oval 13"/>
        <xdr:cNvSpPr>
          <a:spLocks/>
        </xdr:cNvSpPr>
      </xdr:nvSpPr>
      <xdr:spPr>
        <a:xfrm>
          <a:off x="34747200" y="78009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333375</xdr:colOff>
      <xdr:row>19</xdr:row>
      <xdr:rowOff>371475</xdr:rowOff>
    </xdr:from>
    <xdr:ext cx="438150" cy="438150"/>
    <xdr:sp>
      <xdr:nvSpPr>
        <xdr:cNvPr id="14" name="TextBox 14"/>
        <xdr:cNvSpPr txBox="1">
          <a:spLocks noChangeArrowheads="1"/>
        </xdr:cNvSpPr>
      </xdr:nvSpPr>
      <xdr:spPr>
        <a:xfrm>
          <a:off x="34871025" y="793432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x7</a:t>
          </a:r>
        </a:p>
      </xdr:txBody>
    </xdr:sp>
    <xdr:clientData/>
  </xdr:oneCellAnchor>
  <xdr:twoCellAnchor>
    <xdr:from>
      <xdr:col>74</xdr:col>
      <xdr:colOff>171450</xdr:colOff>
      <xdr:row>44</xdr:row>
      <xdr:rowOff>9525</xdr:rowOff>
    </xdr:from>
    <xdr:to>
      <xdr:col>74</xdr:col>
      <xdr:colOff>390525</xdr:colOff>
      <xdr:row>44</xdr:row>
      <xdr:rowOff>257175</xdr:rowOff>
    </xdr:to>
    <xdr:sp>
      <xdr:nvSpPr>
        <xdr:cNvPr id="15" name="Oval 15"/>
        <xdr:cNvSpPr>
          <a:spLocks/>
        </xdr:cNvSpPr>
      </xdr:nvSpPr>
      <xdr:spPr>
        <a:xfrm>
          <a:off x="33394650" y="185261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74</xdr:col>
      <xdr:colOff>333375</xdr:colOff>
      <xdr:row>44</xdr:row>
      <xdr:rowOff>190500</xdr:rowOff>
    </xdr:from>
    <xdr:ext cx="438150" cy="438150"/>
    <xdr:sp>
      <xdr:nvSpPr>
        <xdr:cNvPr id="16" name="TextBox 16"/>
        <xdr:cNvSpPr txBox="1">
          <a:spLocks noChangeArrowheads="1"/>
        </xdr:cNvSpPr>
      </xdr:nvSpPr>
      <xdr:spPr>
        <a:xfrm>
          <a:off x="33556575" y="1870710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x8</a:t>
          </a:r>
        </a:p>
      </xdr:txBody>
    </xdr:sp>
    <xdr:clientData/>
  </xdr:oneCellAnchor>
  <xdr:twoCellAnchor>
    <xdr:from>
      <xdr:col>70</xdr:col>
      <xdr:colOff>314325</xdr:colOff>
      <xdr:row>37</xdr:row>
      <xdr:rowOff>371475</xdr:rowOff>
    </xdr:from>
    <xdr:to>
      <xdr:col>71</xdr:col>
      <xdr:colOff>95250</xdr:colOff>
      <xdr:row>38</xdr:row>
      <xdr:rowOff>190500</xdr:rowOff>
    </xdr:to>
    <xdr:sp>
      <xdr:nvSpPr>
        <xdr:cNvPr id="17" name="Oval 17"/>
        <xdr:cNvSpPr>
          <a:spLocks/>
        </xdr:cNvSpPr>
      </xdr:nvSpPr>
      <xdr:spPr>
        <a:xfrm>
          <a:off x="31784925" y="1582102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71</xdr:col>
      <xdr:colOff>57150</xdr:colOff>
      <xdr:row>38</xdr:row>
      <xdr:rowOff>66675</xdr:rowOff>
    </xdr:from>
    <xdr:ext cx="438150" cy="438150"/>
    <xdr:sp>
      <xdr:nvSpPr>
        <xdr:cNvPr id="18" name="TextBox 18"/>
        <xdr:cNvSpPr txBox="1">
          <a:spLocks noChangeArrowheads="1"/>
        </xdr:cNvSpPr>
      </xdr:nvSpPr>
      <xdr:spPr>
        <a:xfrm>
          <a:off x="31965900" y="159543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x9</a:t>
          </a:r>
        </a:p>
      </xdr:txBody>
    </xdr:sp>
    <xdr:clientData/>
  </xdr:oneCellAnchor>
  <xdr:twoCellAnchor>
    <xdr:from>
      <xdr:col>12</xdr:col>
      <xdr:colOff>371475</xdr:colOff>
      <xdr:row>36</xdr:row>
      <xdr:rowOff>85725</xdr:rowOff>
    </xdr:from>
    <xdr:to>
      <xdr:col>13</xdr:col>
      <xdr:colOff>152400</xdr:colOff>
      <xdr:row>36</xdr:row>
      <xdr:rowOff>333375</xdr:rowOff>
    </xdr:to>
    <xdr:sp>
      <xdr:nvSpPr>
        <xdr:cNvPr id="19" name="Oval 19"/>
        <xdr:cNvSpPr>
          <a:spLocks/>
        </xdr:cNvSpPr>
      </xdr:nvSpPr>
      <xdr:spPr>
        <a:xfrm>
          <a:off x="6429375" y="150971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13</xdr:col>
      <xdr:colOff>57150</xdr:colOff>
      <xdr:row>36</xdr:row>
      <xdr:rowOff>247650</xdr:rowOff>
    </xdr:from>
    <xdr:ext cx="495300" cy="438150"/>
    <xdr:sp>
      <xdr:nvSpPr>
        <xdr:cNvPr id="20" name="TextBox 20"/>
        <xdr:cNvSpPr txBox="1">
          <a:spLocks noChangeArrowheads="1"/>
        </xdr:cNvSpPr>
      </xdr:nvSpPr>
      <xdr:spPr>
        <a:xfrm>
          <a:off x="6553200" y="152590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x10</a:t>
          </a:r>
        </a:p>
      </xdr:txBody>
    </xdr:sp>
    <xdr:clientData/>
  </xdr:oneCellAnchor>
  <xdr:twoCellAnchor>
    <xdr:from>
      <xdr:col>56</xdr:col>
      <xdr:colOff>190500</xdr:colOff>
      <xdr:row>30</xdr:row>
      <xdr:rowOff>276225</xdr:rowOff>
    </xdr:from>
    <xdr:to>
      <xdr:col>56</xdr:col>
      <xdr:colOff>409575</xdr:colOff>
      <xdr:row>31</xdr:row>
      <xdr:rowOff>85725</xdr:rowOff>
    </xdr:to>
    <xdr:sp>
      <xdr:nvSpPr>
        <xdr:cNvPr id="21" name="Oval 21"/>
        <xdr:cNvSpPr>
          <a:spLocks/>
        </xdr:cNvSpPr>
      </xdr:nvSpPr>
      <xdr:spPr>
        <a:xfrm>
          <a:off x="25527000" y="126587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56</xdr:col>
      <xdr:colOff>333375</xdr:colOff>
      <xdr:row>31</xdr:row>
      <xdr:rowOff>0</xdr:rowOff>
    </xdr:from>
    <xdr:ext cx="485775" cy="438150"/>
    <xdr:sp>
      <xdr:nvSpPr>
        <xdr:cNvPr id="22" name="TextBox 22"/>
        <xdr:cNvSpPr txBox="1">
          <a:spLocks noChangeArrowheads="1"/>
        </xdr:cNvSpPr>
      </xdr:nvSpPr>
      <xdr:spPr>
        <a:xfrm>
          <a:off x="25669875" y="1282065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x11</a:t>
          </a:r>
        </a:p>
      </xdr:txBody>
    </xdr:sp>
    <xdr:clientData/>
  </xdr:oneCellAnchor>
  <xdr:twoCellAnchor>
    <xdr:from>
      <xdr:col>61</xdr:col>
      <xdr:colOff>276225</xdr:colOff>
      <xdr:row>27</xdr:row>
      <xdr:rowOff>428625</xdr:rowOff>
    </xdr:from>
    <xdr:to>
      <xdr:col>62</xdr:col>
      <xdr:colOff>57150</xdr:colOff>
      <xdr:row>28</xdr:row>
      <xdr:rowOff>238125</xdr:rowOff>
    </xdr:to>
    <xdr:sp>
      <xdr:nvSpPr>
        <xdr:cNvPr id="23" name="Oval 23"/>
        <xdr:cNvSpPr>
          <a:spLocks/>
        </xdr:cNvSpPr>
      </xdr:nvSpPr>
      <xdr:spPr>
        <a:xfrm>
          <a:off x="27803475" y="114966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62</xdr:col>
      <xdr:colOff>0</xdr:colOff>
      <xdr:row>28</xdr:row>
      <xdr:rowOff>123825</xdr:rowOff>
    </xdr:from>
    <xdr:ext cx="495300" cy="438150"/>
    <xdr:sp>
      <xdr:nvSpPr>
        <xdr:cNvPr id="24" name="TextBox 24"/>
        <xdr:cNvSpPr txBox="1">
          <a:spLocks noChangeArrowheads="1"/>
        </xdr:cNvSpPr>
      </xdr:nvSpPr>
      <xdr:spPr>
        <a:xfrm>
          <a:off x="27965400" y="116300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x12</a:t>
          </a:r>
        </a:p>
      </xdr:txBody>
    </xdr:sp>
    <xdr:clientData/>
  </xdr:oneCellAnchor>
  <xdr:twoCellAnchor>
    <xdr:from>
      <xdr:col>48</xdr:col>
      <xdr:colOff>352425</xdr:colOff>
      <xdr:row>29</xdr:row>
      <xdr:rowOff>428625</xdr:rowOff>
    </xdr:from>
    <xdr:to>
      <xdr:col>49</xdr:col>
      <xdr:colOff>133350</xdr:colOff>
      <xdr:row>30</xdr:row>
      <xdr:rowOff>238125</xdr:rowOff>
    </xdr:to>
    <xdr:sp>
      <xdr:nvSpPr>
        <xdr:cNvPr id="25" name="Oval 25"/>
        <xdr:cNvSpPr>
          <a:spLocks/>
        </xdr:cNvSpPr>
      </xdr:nvSpPr>
      <xdr:spPr>
        <a:xfrm>
          <a:off x="22183725" y="123729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49</xdr:col>
      <xdr:colOff>57150</xdr:colOff>
      <xdr:row>30</xdr:row>
      <xdr:rowOff>123825</xdr:rowOff>
    </xdr:from>
    <xdr:ext cx="495300" cy="438150"/>
    <xdr:sp>
      <xdr:nvSpPr>
        <xdr:cNvPr id="26" name="TextBox 26"/>
        <xdr:cNvSpPr txBox="1">
          <a:spLocks noChangeArrowheads="1"/>
        </xdr:cNvSpPr>
      </xdr:nvSpPr>
      <xdr:spPr>
        <a:xfrm>
          <a:off x="22326600" y="125063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x13</a:t>
          </a:r>
        </a:p>
      </xdr:txBody>
    </xdr:sp>
    <xdr:clientData/>
  </xdr:oneCellAnchor>
  <xdr:twoCellAnchor>
    <xdr:from>
      <xdr:col>47</xdr:col>
      <xdr:colOff>371475</xdr:colOff>
      <xdr:row>36</xdr:row>
      <xdr:rowOff>152400</xdr:rowOff>
    </xdr:from>
    <xdr:to>
      <xdr:col>48</xdr:col>
      <xdr:colOff>152400</xdr:colOff>
      <xdr:row>36</xdr:row>
      <xdr:rowOff>400050</xdr:rowOff>
    </xdr:to>
    <xdr:sp>
      <xdr:nvSpPr>
        <xdr:cNvPr id="27" name="Oval 27"/>
        <xdr:cNvSpPr>
          <a:spLocks/>
        </xdr:cNvSpPr>
      </xdr:nvSpPr>
      <xdr:spPr>
        <a:xfrm>
          <a:off x="21764625" y="151638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48</xdr:col>
      <xdr:colOff>57150</xdr:colOff>
      <xdr:row>36</xdr:row>
      <xdr:rowOff>314325</xdr:rowOff>
    </xdr:from>
    <xdr:ext cx="495300" cy="438150"/>
    <xdr:sp>
      <xdr:nvSpPr>
        <xdr:cNvPr id="28" name="TextBox 28"/>
        <xdr:cNvSpPr txBox="1">
          <a:spLocks noChangeArrowheads="1"/>
        </xdr:cNvSpPr>
      </xdr:nvSpPr>
      <xdr:spPr>
        <a:xfrm>
          <a:off x="21888450" y="153257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x14</a:t>
          </a:r>
        </a:p>
      </xdr:txBody>
    </xdr:sp>
    <xdr:clientData/>
  </xdr:oneCellAnchor>
  <xdr:twoCellAnchor>
    <xdr:from>
      <xdr:col>65</xdr:col>
      <xdr:colOff>85725</xdr:colOff>
      <xdr:row>29</xdr:row>
      <xdr:rowOff>371475</xdr:rowOff>
    </xdr:from>
    <xdr:to>
      <xdr:col>65</xdr:col>
      <xdr:colOff>304800</xdr:colOff>
      <xdr:row>30</xdr:row>
      <xdr:rowOff>190500</xdr:rowOff>
    </xdr:to>
    <xdr:sp>
      <xdr:nvSpPr>
        <xdr:cNvPr id="29" name="Oval 29"/>
        <xdr:cNvSpPr>
          <a:spLocks/>
        </xdr:cNvSpPr>
      </xdr:nvSpPr>
      <xdr:spPr>
        <a:xfrm>
          <a:off x="29365575" y="1231582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65</xdr:col>
      <xdr:colOff>219075</xdr:colOff>
      <xdr:row>30</xdr:row>
      <xdr:rowOff>66675</xdr:rowOff>
    </xdr:from>
    <xdr:ext cx="495300" cy="438150"/>
    <xdr:sp>
      <xdr:nvSpPr>
        <xdr:cNvPr id="30" name="TextBox 30"/>
        <xdr:cNvSpPr txBox="1">
          <a:spLocks noChangeArrowheads="1"/>
        </xdr:cNvSpPr>
      </xdr:nvSpPr>
      <xdr:spPr>
        <a:xfrm>
          <a:off x="29498925" y="124491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x15</a:t>
          </a:r>
        </a:p>
      </xdr:txBody>
    </xdr:sp>
    <xdr:clientData/>
  </xdr:oneCellAnchor>
  <xdr:twoCellAnchor>
    <xdr:from>
      <xdr:col>62</xdr:col>
      <xdr:colOff>352425</xdr:colOff>
      <xdr:row>50</xdr:row>
      <xdr:rowOff>0</xdr:rowOff>
    </xdr:from>
    <xdr:to>
      <xdr:col>63</xdr:col>
      <xdr:colOff>133350</xdr:colOff>
      <xdr:row>50</xdr:row>
      <xdr:rowOff>247650</xdr:rowOff>
    </xdr:to>
    <xdr:sp>
      <xdr:nvSpPr>
        <xdr:cNvPr id="31" name="Oval 31"/>
        <xdr:cNvSpPr>
          <a:spLocks/>
        </xdr:cNvSpPr>
      </xdr:nvSpPr>
      <xdr:spPr>
        <a:xfrm>
          <a:off x="28317825" y="211455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63</xdr:col>
      <xdr:colOff>57150</xdr:colOff>
      <xdr:row>50</xdr:row>
      <xdr:rowOff>190500</xdr:rowOff>
    </xdr:from>
    <xdr:ext cx="495300" cy="438150"/>
    <xdr:sp>
      <xdr:nvSpPr>
        <xdr:cNvPr id="32" name="TextBox 32"/>
        <xdr:cNvSpPr txBox="1">
          <a:spLocks noChangeArrowheads="1"/>
        </xdr:cNvSpPr>
      </xdr:nvSpPr>
      <xdr:spPr>
        <a:xfrm>
          <a:off x="28460700" y="2133600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x16</a:t>
          </a:r>
        </a:p>
      </xdr:txBody>
    </xdr:sp>
    <xdr:clientData/>
  </xdr:oneCellAnchor>
  <xdr:twoCellAnchor>
    <xdr:from>
      <xdr:col>77</xdr:col>
      <xdr:colOff>371475</xdr:colOff>
      <xdr:row>4</xdr:row>
      <xdr:rowOff>371475</xdr:rowOff>
    </xdr:from>
    <xdr:to>
      <xdr:col>78</xdr:col>
      <xdr:colOff>152400</xdr:colOff>
      <xdr:row>5</xdr:row>
      <xdr:rowOff>190500</xdr:rowOff>
    </xdr:to>
    <xdr:sp>
      <xdr:nvSpPr>
        <xdr:cNvPr id="33" name="Oval 33"/>
        <xdr:cNvSpPr>
          <a:spLocks/>
        </xdr:cNvSpPr>
      </xdr:nvSpPr>
      <xdr:spPr>
        <a:xfrm>
          <a:off x="34909125" y="136207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78</xdr:col>
      <xdr:colOff>57150</xdr:colOff>
      <xdr:row>5</xdr:row>
      <xdr:rowOff>66675</xdr:rowOff>
    </xdr:from>
    <xdr:ext cx="495300" cy="438150"/>
    <xdr:sp>
      <xdr:nvSpPr>
        <xdr:cNvPr id="34" name="TextBox 34"/>
        <xdr:cNvSpPr txBox="1">
          <a:spLocks noChangeArrowheads="1"/>
        </xdr:cNvSpPr>
      </xdr:nvSpPr>
      <xdr:spPr>
        <a:xfrm>
          <a:off x="35032950" y="14954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x17</a:t>
          </a:r>
        </a:p>
      </xdr:txBody>
    </xdr:sp>
    <xdr:clientData/>
  </xdr:oneCellAnchor>
  <xdr:twoCellAnchor>
    <xdr:from>
      <xdr:col>76</xdr:col>
      <xdr:colOff>152400</xdr:colOff>
      <xdr:row>20</xdr:row>
      <xdr:rowOff>352425</xdr:rowOff>
    </xdr:from>
    <xdr:to>
      <xdr:col>76</xdr:col>
      <xdr:colOff>371475</xdr:colOff>
      <xdr:row>21</xdr:row>
      <xdr:rowOff>161925</xdr:rowOff>
    </xdr:to>
    <xdr:sp>
      <xdr:nvSpPr>
        <xdr:cNvPr id="35" name="Oval 35"/>
        <xdr:cNvSpPr>
          <a:spLocks/>
        </xdr:cNvSpPr>
      </xdr:nvSpPr>
      <xdr:spPr>
        <a:xfrm>
          <a:off x="34251900" y="83534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76</xdr:col>
      <xdr:colOff>333375</xdr:colOff>
      <xdr:row>21</xdr:row>
      <xdr:rowOff>66675</xdr:rowOff>
    </xdr:from>
    <xdr:ext cx="485775" cy="438150"/>
    <xdr:sp>
      <xdr:nvSpPr>
        <xdr:cNvPr id="36" name="TextBox 36"/>
        <xdr:cNvSpPr txBox="1">
          <a:spLocks noChangeArrowheads="1"/>
        </xdr:cNvSpPr>
      </xdr:nvSpPr>
      <xdr:spPr>
        <a:xfrm>
          <a:off x="34432875" y="8505825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x18</a:t>
          </a:r>
        </a:p>
      </xdr:txBody>
    </xdr:sp>
    <xdr:clientData/>
  </xdr:oneCellAnchor>
  <xdr:twoCellAnchor>
    <xdr:from>
      <xdr:col>79</xdr:col>
      <xdr:colOff>19050</xdr:colOff>
      <xdr:row>9</xdr:row>
      <xdr:rowOff>200025</xdr:rowOff>
    </xdr:from>
    <xdr:to>
      <xdr:col>79</xdr:col>
      <xdr:colOff>238125</xdr:colOff>
      <xdr:row>10</xdr:row>
      <xdr:rowOff>9525</xdr:rowOff>
    </xdr:to>
    <xdr:sp>
      <xdr:nvSpPr>
        <xdr:cNvPr id="37" name="Oval 37"/>
        <xdr:cNvSpPr>
          <a:spLocks/>
        </xdr:cNvSpPr>
      </xdr:nvSpPr>
      <xdr:spPr>
        <a:xfrm>
          <a:off x="35433000" y="33813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79</xdr:col>
      <xdr:colOff>161925</xdr:colOff>
      <xdr:row>9</xdr:row>
      <xdr:rowOff>371475</xdr:rowOff>
    </xdr:from>
    <xdr:ext cx="495300" cy="438150"/>
    <xdr:sp>
      <xdr:nvSpPr>
        <xdr:cNvPr id="38" name="TextBox 38"/>
        <xdr:cNvSpPr txBox="1">
          <a:spLocks noChangeArrowheads="1"/>
        </xdr:cNvSpPr>
      </xdr:nvSpPr>
      <xdr:spPr>
        <a:xfrm>
          <a:off x="35575875" y="35528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x19</a:t>
          </a:r>
        </a:p>
      </xdr:txBody>
    </xdr:sp>
    <xdr:clientData/>
  </xdr:oneCellAnchor>
  <xdr:twoCellAnchor>
    <xdr:from>
      <xdr:col>60</xdr:col>
      <xdr:colOff>333375</xdr:colOff>
      <xdr:row>21</xdr:row>
      <xdr:rowOff>38100</xdr:rowOff>
    </xdr:from>
    <xdr:to>
      <xdr:col>61</xdr:col>
      <xdr:colOff>114300</xdr:colOff>
      <xdr:row>21</xdr:row>
      <xdr:rowOff>285750</xdr:rowOff>
    </xdr:to>
    <xdr:sp>
      <xdr:nvSpPr>
        <xdr:cNvPr id="39" name="Oval 39"/>
        <xdr:cNvSpPr>
          <a:spLocks/>
        </xdr:cNvSpPr>
      </xdr:nvSpPr>
      <xdr:spPr>
        <a:xfrm>
          <a:off x="27422475" y="84772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61</xdr:col>
      <xdr:colOff>57150</xdr:colOff>
      <xdr:row>21</xdr:row>
      <xdr:rowOff>190500</xdr:rowOff>
    </xdr:from>
    <xdr:ext cx="495300" cy="438150"/>
    <xdr:sp>
      <xdr:nvSpPr>
        <xdr:cNvPr id="40" name="TextBox 40"/>
        <xdr:cNvSpPr txBox="1">
          <a:spLocks noChangeArrowheads="1"/>
        </xdr:cNvSpPr>
      </xdr:nvSpPr>
      <xdr:spPr>
        <a:xfrm>
          <a:off x="27584400" y="86296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x20</a:t>
          </a:r>
        </a:p>
      </xdr:txBody>
    </xdr:sp>
    <xdr:clientData/>
  </xdr:oneCellAnchor>
  <xdr:twoCellAnchor>
    <xdr:from>
      <xdr:col>46</xdr:col>
      <xdr:colOff>247650</xdr:colOff>
      <xdr:row>23</xdr:row>
      <xdr:rowOff>0</xdr:rowOff>
    </xdr:from>
    <xdr:to>
      <xdr:col>47</xdr:col>
      <xdr:colOff>28575</xdr:colOff>
      <xdr:row>23</xdr:row>
      <xdr:rowOff>247650</xdr:rowOff>
    </xdr:to>
    <xdr:sp>
      <xdr:nvSpPr>
        <xdr:cNvPr id="41" name="Oval 41"/>
        <xdr:cNvSpPr>
          <a:spLocks/>
        </xdr:cNvSpPr>
      </xdr:nvSpPr>
      <xdr:spPr>
        <a:xfrm>
          <a:off x="21202650" y="93154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46</xdr:col>
      <xdr:colOff>381000</xdr:colOff>
      <xdr:row>23</xdr:row>
      <xdr:rowOff>190500</xdr:rowOff>
    </xdr:from>
    <xdr:ext cx="495300" cy="438150"/>
    <xdr:sp>
      <xdr:nvSpPr>
        <xdr:cNvPr id="42" name="TextBox 42"/>
        <xdr:cNvSpPr txBox="1">
          <a:spLocks noChangeArrowheads="1"/>
        </xdr:cNvSpPr>
      </xdr:nvSpPr>
      <xdr:spPr>
        <a:xfrm>
          <a:off x="21336000" y="95059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x21</a:t>
          </a:r>
        </a:p>
      </xdr:txBody>
    </xdr:sp>
    <xdr:clientData/>
  </xdr:oneCellAnchor>
  <xdr:twoCellAnchor>
    <xdr:from>
      <xdr:col>62</xdr:col>
      <xdr:colOff>333375</xdr:colOff>
      <xdr:row>45</xdr:row>
      <xdr:rowOff>266700</xdr:rowOff>
    </xdr:from>
    <xdr:to>
      <xdr:col>63</xdr:col>
      <xdr:colOff>114300</xdr:colOff>
      <xdr:row>46</xdr:row>
      <xdr:rowOff>76200</xdr:rowOff>
    </xdr:to>
    <xdr:sp>
      <xdr:nvSpPr>
        <xdr:cNvPr id="43" name="Oval 43"/>
        <xdr:cNvSpPr>
          <a:spLocks/>
        </xdr:cNvSpPr>
      </xdr:nvSpPr>
      <xdr:spPr>
        <a:xfrm>
          <a:off x="28298775" y="192214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63</xdr:col>
      <xdr:colOff>57150</xdr:colOff>
      <xdr:row>46</xdr:row>
      <xdr:rowOff>0</xdr:rowOff>
    </xdr:from>
    <xdr:ext cx="495300" cy="438150"/>
    <xdr:sp>
      <xdr:nvSpPr>
        <xdr:cNvPr id="44" name="TextBox 44"/>
        <xdr:cNvSpPr txBox="1">
          <a:spLocks noChangeArrowheads="1"/>
        </xdr:cNvSpPr>
      </xdr:nvSpPr>
      <xdr:spPr>
        <a:xfrm>
          <a:off x="28460700" y="1939290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x22</a:t>
          </a:r>
        </a:p>
      </xdr:txBody>
    </xdr:sp>
    <xdr:clientData/>
  </xdr:oneCellAnchor>
  <xdr:twoCellAnchor>
    <xdr:from>
      <xdr:col>53</xdr:col>
      <xdr:colOff>314325</xdr:colOff>
      <xdr:row>34</xdr:row>
      <xdr:rowOff>390525</xdr:rowOff>
    </xdr:from>
    <xdr:to>
      <xdr:col>54</xdr:col>
      <xdr:colOff>95250</xdr:colOff>
      <xdr:row>35</xdr:row>
      <xdr:rowOff>200025</xdr:rowOff>
    </xdr:to>
    <xdr:sp>
      <xdr:nvSpPr>
        <xdr:cNvPr id="45" name="Oval 45"/>
        <xdr:cNvSpPr>
          <a:spLocks/>
        </xdr:cNvSpPr>
      </xdr:nvSpPr>
      <xdr:spPr>
        <a:xfrm>
          <a:off x="24336375" y="145256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54</xdr:col>
      <xdr:colOff>57150</xdr:colOff>
      <xdr:row>35</xdr:row>
      <xdr:rowOff>123825</xdr:rowOff>
    </xdr:from>
    <xdr:ext cx="495300" cy="438150"/>
    <xdr:sp>
      <xdr:nvSpPr>
        <xdr:cNvPr id="46" name="TextBox 46"/>
        <xdr:cNvSpPr txBox="1">
          <a:spLocks noChangeArrowheads="1"/>
        </xdr:cNvSpPr>
      </xdr:nvSpPr>
      <xdr:spPr>
        <a:xfrm>
          <a:off x="24517350" y="146970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x23</a:t>
          </a:r>
        </a:p>
      </xdr:txBody>
    </xdr:sp>
    <xdr:clientData/>
  </xdr:oneCellAnchor>
  <xdr:twoCellAnchor>
    <xdr:from>
      <xdr:col>18</xdr:col>
      <xdr:colOff>28575</xdr:colOff>
      <xdr:row>28</xdr:row>
      <xdr:rowOff>266700</xdr:rowOff>
    </xdr:from>
    <xdr:to>
      <xdr:col>18</xdr:col>
      <xdr:colOff>247650</xdr:colOff>
      <xdr:row>29</xdr:row>
      <xdr:rowOff>76200</xdr:rowOff>
    </xdr:to>
    <xdr:sp>
      <xdr:nvSpPr>
        <xdr:cNvPr id="47" name="Oval 47"/>
        <xdr:cNvSpPr>
          <a:spLocks/>
        </xdr:cNvSpPr>
      </xdr:nvSpPr>
      <xdr:spPr>
        <a:xfrm>
          <a:off x="8715375" y="117729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18</xdr:col>
      <xdr:colOff>161925</xdr:colOff>
      <xdr:row>29</xdr:row>
      <xdr:rowOff>0</xdr:rowOff>
    </xdr:from>
    <xdr:ext cx="495300" cy="438150"/>
    <xdr:sp>
      <xdr:nvSpPr>
        <xdr:cNvPr id="48" name="TextBox 48"/>
        <xdr:cNvSpPr txBox="1">
          <a:spLocks noChangeArrowheads="1"/>
        </xdr:cNvSpPr>
      </xdr:nvSpPr>
      <xdr:spPr>
        <a:xfrm>
          <a:off x="8848725" y="119443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x24</a:t>
          </a:r>
        </a:p>
      </xdr:txBody>
    </xdr:sp>
    <xdr:clientData/>
  </xdr:oneCellAnchor>
  <xdr:twoCellAnchor>
    <xdr:from>
      <xdr:col>44</xdr:col>
      <xdr:colOff>352425</xdr:colOff>
      <xdr:row>33</xdr:row>
      <xdr:rowOff>209550</xdr:rowOff>
    </xdr:from>
    <xdr:to>
      <xdr:col>45</xdr:col>
      <xdr:colOff>133350</xdr:colOff>
      <xdr:row>34</xdr:row>
      <xdr:rowOff>28575</xdr:rowOff>
    </xdr:to>
    <xdr:sp>
      <xdr:nvSpPr>
        <xdr:cNvPr id="49" name="Oval 49"/>
        <xdr:cNvSpPr>
          <a:spLocks/>
        </xdr:cNvSpPr>
      </xdr:nvSpPr>
      <xdr:spPr>
        <a:xfrm>
          <a:off x="20431125" y="13906500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45</xdr:col>
      <xdr:colOff>57150</xdr:colOff>
      <xdr:row>33</xdr:row>
      <xdr:rowOff>371475</xdr:rowOff>
    </xdr:from>
    <xdr:ext cx="495300" cy="438150"/>
    <xdr:sp>
      <xdr:nvSpPr>
        <xdr:cNvPr id="50" name="TextBox 50"/>
        <xdr:cNvSpPr txBox="1">
          <a:spLocks noChangeArrowheads="1"/>
        </xdr:cNvSpPr>
      </xdr:nvSpPr>
      <xdr:spPr>
        <a:xfrm>
          <a:off x="20574000" y="140684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x25</a:t>
          </a:r>
        </a:p>
      </xdr:txBody>
    </xdr:sp>
    <xdr:clientData/>
  </xdr:oneCellAnchor>
  <xdr:twoCellAnchor>
    <xdr:from>
      <xdr:col>8</xdr:col>
      <xdr:colOff>219075</xdr:colOff>
      <xdr:row>46</xdr:row>
      <xdr:rowOff>276225</xdr:rowOff>
    </xdr:from>
    <xdr:to>
      <xdr:col>9</xdr:col>
      <xdr:colOff>0</xdr:colOff>
      <xdr:row>47</xdr:row>
      <xdr:rowOff>85725</xdr:rowOff>
    </xdr:to>
    <xdr:sp>
      <xdr:nvSpPr>
        <xdr:cNvPr id="51" name="Oval 51"/>
        <xdr:cNvSpPr>
          <a:spLocks/>
        </xdr:cNvSpPr>
      </xdr:nvSpPr>
      <xdr:spPr>
        <a:xfrm>
          <a:off x="4524375" y="196691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333375</xdr:colOff>
      <xdr:row>47</xdr:row>
      <xdr:rowOff>0</xdr:rowOff>
    </xdr:from>
    <xdr:ext cx="485775" cy="438150"/>
    <xdr:sp>
      <xdr:nvSpPr>
        <xdr:cNvPr id="52" name="TextBox 52"/>
        <xdr:cNvSpPr txBox="1">
          <a:spLocks noChangeArrowheads="1"/>
        </xdr:cNvSpPr>
      </xdr:nvSpPr>
      <xdr:spPr>
        <a:xfrm>
          <a:off x="4638675" y="1983105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x26</a:t>
          </a:r>
        </a:p>
      </xdr:txBody>
    </xdr:sp>
    <xdr:clientData/>
  </xdr:oneCellAnchor>
  <xdr:twoCellAnchor>
    <xdr:from>
      <xdr:col>77</xdr:col>
      <xdr:colOff>133350</xdr:colOff>
      <xdr:row>8</xdr:row>
      <xdr:rowOff>228600</xdr:rowOff>
    </xdr:from>
    <xdr:to>
      <xdr:col>77</xdr:col>
      <xdr:colOff>352425</xdr:colOff>
      <xdr:row>9</xdr:row>
      <xdr:rowOff>38100</xdr:rowOff>
    </xdr:to>
    <xdr:sp>
      <xdr:nvSpPr>
        <xdr:cNvPr id="53" name="Oval 53"/>
        <xdr:cNvSpPr>
          <a:spLocks/>
        </xdr:cNvSpPr>
      </xdr:nvSpPr>
      <xdr:spPr>
        <a:xfrm>
          <a:off x="34671000" y="29718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276225</xdr:colOff>
      <xdr:row>8</xdr:row>
      <xdr:rowOff>371475</xdr:rowOff>
    </xdr:from>
    <xdr:ext cx="495300" cy="438150"/>
    <xdr:sp>
      <xdr:nvSpPr>
        <xdr:cNvPr id="54" name="TextBox 54"/>
        <xdr:cNvSpPr txBox="1">
          <a:spLocks noChangeArrowheads="1"/>
        </xdr:cNvSpPr>
      </xdr:nvSpPr>
      <xdr:spPr>
        <a:xfrm>
          <a:off x="34813875" y="31146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x27</a:t>
          </a:r>
        </a:p>
      </xdr:txBody>
    </xdr:sp>
    <xdr:clientData/>
  </xdr:oneCellAnchor>
  <xdr:twoCellAnchor>
    <xdr:from>
      <xdr:col>77</xdr:col>
      <xdr:colOff>66675</xdr:colOff>
      <xdr:row>16</xdr:row>
      <xdr:rowOff>390525</xdr:rowOff>
    </xdr:from>
    <xdr:to>
      <xdr:col>77</xdr:col>
      <xdr:colOff>285750</xdr:colOff>
      <xdr:row>17</xdr:row>
      <xdr:rowOff>200025</xdr:rowOff>
    </xdr:to>
    <xdr:sp>
      <xdr:nvSpPr>
        <xdr:cNvPr id="55" name="Oval 55"/>
        <xdr:cNvSpPr>
          <a:spLocks/>
        </xdr:cNvSpPr>
      </xdr:nvSpPr>
      <xdr:spPr>
        <a:xfrm>
          <a:off x="34604325" y="6638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219075</xdr:colOff>
      <xdr:row>17</xdr:row>
      <xdr:rowOff>123825</xdr:rowOff>
    </xdr:from>
    <xdr:ext cx="495300" cy="438150"/>
    <xdr:sp>
      <xdr:nvSpPr>
        <xdr:cNvPr id="56" name="TextBox 56"/>
        <xdr:cNvSpPr txBox="1">
          <a:spLocks noChangeArrowheads="1"/>
        </xdr:cNvSpPr>
      </xdr:nvSpPr>
      <xdr:spPr>
        <a:xfrm>
          <a:off x="34756725" y="68103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x28</a:t>
          </a:r>
        </a:p>
      </xdr:txBody>
    </xdr:sp>
    <xdr:clientData/>
  </xdr:oneCellAnchor>
  <xdr:twoCellAnchor>
    <xdr:from>
      <xdr:col>33</xdr:col>
      <xdr:colOff>219075</xdr:colOff>
      <xdr:row>49</xdr:row>
      <xdr:rowOff>66675</xdr:rowOff>
    </xdr:from>
    <xdr:to>
      <xdr:col>34</xdr:col>
      <xdr:colOff>0</xdr:colOff>
      <xdr:row>49</xdr:row>
      <xdr:rowOff>314325</xdr:rowOff>
    </xdr:to>
    <xdr:sp>
      <xdr:nvSpPr>
        <xdr:cNvPr id="57" name="Oval 57"/>
        <xdr:cNvSpPr>
          <a:spLocks/>
        </xdr:cNvSpPr>
      </xdr:nvSpPr>
      <xdr:spPr>
        <a:xfrm>
          <a:off x="15478125" y="207740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33</xdr:col>
      <xdr:colOff>333375</xdr:colOff>
      <xdr:row>49</xdr:row>
      <xdr:rowOff>247650</xdr:rowOff>
    </xdr:from>
    <xdr:ext cx="485775" cy="438150"/>
    <xdr:sp>
      <xdr:nvSpPr>
        <xdr:cNvPr id="58" name="TextBox 58"/>
        <xdr:cNvSpPr txBox="1">
          <a:spLocks noChangeArrowheads="1"/>
        </xdr:cNvSpPr>
      </xdr:nvSpPr>
      <xdr:spPr>
        <a:xfrm>
          <a:off x="15592425" y="2095500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x29</a:t>
          </a:r>
        </a:p>
      </xdr:txBody>
    </xdr:sp>
    <xdr:clientData/>
  </xdr:oneCellAnchor>
  <xdr:twoCellAnchor>
    <xdr:from>
      <xdr:col>75</xdr:col>
      <xdr:colOff>114300</xdr:colOff>
      <xdr:row>11</xdr:row>
      <xdr:rowOff>276225</xdr:rowOff>
    </xdr:from>
    <xdr:to>
      <xdr:col>75</xdr:col>
      <xdr:colOff>333375</xdr:colOff>
      <xdr:row>12</xdr:row>
      <xdr:rowOff>85725</xdr:rowOff>
    </xdr:to>
    <xdr:sp>
      <xdr:nvSpPr>
        <xdr:cNvPr id="59" name="Oval 59"/>
        <xdr:cNvSpPr>
          <a:spLocks/>
        </xdr:cNvSpPr>
      </xdr:nvSpPr>
      <xdr:spPr>
        <a:xfrm>
          <a:off x="33775650" y="43338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75</xdr:col>
      <xdr:colOff>219075</xdr:colOff>
      <xdr:row>12</xdr:row>
      <xdr:rowOff>0</xdr:rowOff>
    </xdr:from>
    <xdr:ext cx="495300" cy="438150"/>
    <xdr:sp>
      <xdr:nvSpPr>
        <xdr:cNvPr id="60" name="TextBox 60"/>
        <xdr:cNvSpPr txBox="1">
          <a:spLocks noChangeArrowheads="1"/>
        </xdr:cNvSpPr>
      </xdr:nvSpPr>
      <xdr:spPr>
        <a:xfrm>
          <a:off x="33880425" y="449580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x30</a:t>
          </a:r>
        </a:p>
      </xdr:txBody>
    </xdr:sp>
    <xdr:clientData/>
  </xdr:oneCellAnchor>
  <xdr:twoCellAnchor>
    <xdr:from>
      <xdr:col>77</xdr:col>
      <xdr:colOff>85725</xdr:colOff>
      <xdr:row>28</xdr:row>
      <xdr:rowOff>304800</xdr:rowOff>
    </xdr:from>
    <xdr:to>
      <xdr:col>77</xdr:col>
      <xdr:colOff>304800</xdr:colOff>
      <xdr:row>29</xdr:row>
      <xdr:rowOff>114300</xdr:rowOff>
    </xdr:to>
    <xdr:sp>
      <xdr:nvSpPr>
        <xdr:cNvPr id="61" name="Oval 61"/>
        <xdr:cNvSpPr>
          <a:spLocks/>
        </xdr:cNvSpPr>
      </xdr:nvSpPr>
      <xdr:spPr>
        <a:xfrm>
          <a:off x="34623375" y="118110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219075</xdr:colOff>
      <xdr:row>29</xdr:row>
      <xdr:rowOff>66675</xdr:rowOff>
    </xdr:from>
    <xdr:ext cx="495300" cy="438150"/>
    <xdr:sp>
      <xdr:nvSpPr>
        <xdr:cNvPr id="62" name="TextBox 62"/>
        <xdr:cNvSpPr txBox="1">
          <a:spLocks noChangeArrowheads="1"/>
        </xdr:cNvSpPr>
      </xdr:nvSpPr>
      <xdr:spPr>
        <a:xfrm>
          <a:off x="34756725" y="120110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x31</a:t>
          </a:r>
        </a:p>
      </xdr:txBody>
    </xdr:sp>
    <xdr:clientData/>
  </xdr:oneCellAnchor>
  <xdr:twoCellAnchor>
    <xdr:from>
      <xdr:col>34</xdr:col>
      <xdr:colOff>85725</xdr:colOff>
      <xdr:row>23</xdr:row>
      <xdr:rowOff>285750</xdr:rowOff>
    </xdr:from>
    <xdr:to>
      <xdr:col>34</xdr:col>
      <xdr:colOff>304800</xdr:colOff>
      <xdr:row>24</xdr:row>
      <xdr:rowOff>104775</xdr:rowOff>
    </xdr:to>
    <xdr:sp>
      <xdr:nvSpPr>
        <xdr:cNvPr id="63" name="Oval 63"/>
        <xdr:cNvSpPr>
          <a:spLocks/>
        </xdr:cNvSpPr>
      </xdr:nvSpPr>
      <xdr:spPr>
        <a:xfrm>
          <a:off x="15782925" y="9601200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34</xdr:col>
      <xdr:colOff>219075</xdr:colOff>
      <xdr:row>24</xdr:row>
      <xdr:rowOff>0</xdr:rowOff>
    </xdr:from>
    <xdr:ext cx="495300" cy="438150"/>
    <xdr:sp>
      <xdr:nvSpPr>
        <xdr:cNvPr id="64" name="TextBox 64"/>
        <xdr:cNvSpPr txBox="1">
          <a:spLocks noChangeArrowheads="1"/>
        </xdr:cNvSpPr>
      </xdr:nvSpPr>
      <xdr:spPr>
        <a:xfrm>
          <a:off x="15916275" y="975360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x32</a:t>
          </a:r>
        </a:p>
      </xdr:txBody>
    </xdr:sp>
    <xdr:clientData/>
  </xdr:oneCellAnchor>
  <xdr:twoCellAnchor>
    <xdr:from>
      <xdr:col>66</xdr:col>
      <xdr:colOff>0</xdr:colOff>
      <xdr:row>24</xdr:row>
      <xdr:rowOff>428625</xdr:rowOff>
    </xdr:from>
    <xdr:to>
      <xdr:col>66</xdr:col>
      <xdr:colOff>219075</xdr:colOff>
      <xdr:row>25</xdr:row>
      <xdr:rowOff>238125</xdr:rowOff>
    </xdr:to>
    <xdr:sp>
      <xdr:nvSpPr>
        <xdr:cNvPr id="65" name="Oval 65"/>
        <xdr:cNvSpPr>
          <a:spLocks/>
        </xdr:cNvSpPr>
      </xdr:nvSpPr>
      <xdr:spPr>
        <a:xfrm>
          <a:off x="29718000" y="101822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66</xdr:col>
      <xdr:colOff>161925</xdr:colOff>
      <xdr:row>25</xdr:row>
      <xdr:rowOff>123825</xdr:rowOff>
    </xdr:from>
    <xdr:ext cx="495300" cy="438150"/>
    <xdr:sp>
      <xdr:nvSpPr>
        <xdr:cNvPr id="66" name="TextBox 66"/>
        <xdr:cNvSpPr txBox="1">
          <a:spLocks noChangeArrowheads="1"/>
        </xdr:cNvSpPr>
      </xdr:nvSpPr>
      <xdr:spPr>
        <a:xfrm>
          <a:off x="29879925" y="103155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x33</a:t>
          </a:r>
        </a:p>
      </xdr:txBody>
    </xdr:sp>
    <xdr:clientData/>
  </xdr:oneCellAnchor>
  <xdr:twoCellAnchor>
    <xdr:from>
      <xdr:col>47</xdr:col>
      <xdr:colOff>361950</xdr:colOff>
      <xdr:row>44</xdr:row>
      <xdr:rowOff>314325</xdr:rowOff>
    </xdr:from>
    <xdr:to>
      <xdr:col>48</xdr:col>
      <xdr:colOff>142875</xdr:colOff>
      <xdr:row>45</xdr:row>
      <xdr:rowOff>123825</xdr:rowOff>
    </xdr:to>
    <xdr:sp>
      <xdr:nvSpPr>
        <xdr:cNvPr id="67" name="Oval 67"/>
        <xdr:cNvSpPr>
          <a:spLocks/>
        </xdr:cNvSpPr>
      </xdr:nvSpPr>
      <xdr:spPr>
        <a:xfrm>
          <a:off x="21755100" y="18830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48</xdr:col>
      <xdr:colOff>57150</xdr:colOff>
      <xdr:row>45</xdr:row>
      <xdr:rowOff>66675</xdr:rowOff>
    </xdr:from>
    <xdr:ext cx="495300" cy="438150"/>
    <xdr:sp>
      <xdr:nvSpPr>
        <xdr:cNvPr id="68" name="TextBox 68"/>
        <xdr:cNvSpPr txBox="1">
          <a:spLocks noChangeArrowheads="1"/>
        </xdr:cNvSpPr>
      </xdr:nvSpPr>
      <xdr:spPr>
        <a:xfrm>
          <a:off x="21888450" y="190214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x34</a:t>
          </a:r>
        </a:p>
      </xdr:txBody>
    </xdr:sp>
    <xdr:clientData/>
  </xdr:oneCellAnchor>
  <xdr:twoCellAnchor>
    <xdr:from>
      <xdr:col>1</xdr:col>
      <xdr:colOff>828675</xdr:colOff>
      <xdr:row>34</xdr:row>
      <xdr:rowOff>238125</xdr:rowOff>
    </xdr:from>
    <xdr:to>
      <xdr:col>2</xdr:col>
      <xdr:colOff>209550</xdr:colOff>
      <xdr:row>35</xdr:row>
      <xdr:rowOff>47625</xdr:rowOff>
    </xdr:to>
    <xdr:sp>
      <xdr:nvSpPr>
        <xdr:cNvPr id="69" name="Oval 69"/>
        <xdr:cNvSpPr>
          <a:spLocks/>
        </xdr:cNvSpPr>
      </xdr:nvSpPr>
      <xdr:spPr>
        <a:xfrm>
          <a:off x="1666875" y="143732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114300</xdr:colOff>
      <xdr:row>34</xdr:row>
      <xdr:rowOff>371475</xdr:rowOff>
    </xdr:from>
    <xdr:ext cx="485775" cy="438150"/>
    <xdr:sp>
      <xdr:nvSpPr>
        <xdr:cNvPr id="70" name="TextBox 70"/>
        <xdr:cNvSpPr txBox="1">
          <a:spLocks noChangeArrowheads="1"/>
        </xdr:cNvSpPr>
      </xdr:nvSpPr>
      <xdr:spPr>
        <a:xfrm>
          <a:off x="1790700" y="14506575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x35</a:t>
          </a:r>
        </a:p>
      </xdr:txBody>
    </xdr:sp>
    <xdr:clientData/>
  </xdr:oneCellAnchor>
  <xdr:twoCellAnchor>
    <xdr:from>
      <xdr:col>74</xdr:col>
      <xdr:colOff>95250</xdr:colOff>
      <xdr:row>18</xdr:row>
      <xdr:rowOff>400050</xdr:rowOff>
    </xdr:from>
    <xdr:to>
      <xdr:col>74</xdr:col>
      <xdr:colOff>314325</xdr:colOff>
      <xdr:row>19</xdr:row>
      <xdr:rowOff>209550</xdr:rowOff>
    </xdr:to>
    <xdr:sp>
      <xdr:nvSpPr>
        <xdr:cNvPr id="71" name="Oval 71"/>
        <xdr:cNvSpPr>
          <a:spLocks/>
        </xdr:cNvSpPr>
      </xdr:nvSpPr>
      <xdr:spPr>
        <a:xfrm>
          <a:off x="33318450" y="75247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74</xdr:col>
      <xdr:colOff>219075</xdr:colOff>
      <xdr:row>19</xdr:row>
      <xdr:rowOff>123825</xdr:rowOff>
    </xdr:from>
    <xdr:ext cx="495300" cy="438150"/>
    <xdr:sp>
      <xdr:nvSpPr>
        <xdr:cNvPr id="72" name="TextBox 72"/>
        <xdr:cNvSpPr txBox="1">
          <a:spLocks noChangeArrowheads="1"/>
        </xdr:cNvSpPr>
      </xdr:nvSpPr>
      <xdr:spPr>
        <a:xfrm>
          <a:off x="33442275" y="76866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x36</a:t>
          </a:r>
        </a:p>
      </xdr:txBody>
    </xdr:sp>
    <xdr:clientData/>
  </xdr:oneCellAnchor>
  <xdr:twoCellAnchor>
    <xdr:from>
      <xdr:col>79</xdr:col>
      <xdr:colOff>152400</xdr:colOff>
      <xdr:row>10</xdr:row>
      <xdr:rowOff>323850</xdr:rowOff>
    </xdr:from>
    <xdr:to>
      <xdr:col>79</xdr:col>
      <xdr:colOff>371475</xdr:colOff>
      <xdr:row>11</xdr:row>
      <xdr:rowOff>133350</xdr:rowOff>
    </xdr:to>
    <xdr:sp>
      <xdr:nvSpPr>
        <xdr:cNvPr id="73" name="Oval 73"/>
        <xdr:cNvSpPr>
          <a:spLocks/>
        </xdr:cNvSpPr>
      </xdr:nvSpPr>
      <xdr:spPr>
        <a:xfrm>
          <a:off x="35566350" y="39433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79</xdr:col>
      <xdr:colOff>333375</xdr:colOff>
      <xdr:row>11</xdr:row>
      <xdr:rowOff>66675</xdr:rowOff>
    </xdr:from>
    <xdr:ext cx="485775" cy="438150"/>
    <xdr:sp>
      <xdr:nvSpPr>
        <xdr:cNvPr id="74" name="TextBox 74"/>
        <xdr:cNvSpPr txBox="1">
          <a:spLocks noChangeArrowheads="1"/>
        </xdr:cNvSpPr>
      </xdr:nvSpPr>
      <xdr:spPr>
        <a:xfrm>
          <a:off x="35747325" y="4124325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x37</a:t>
          </a:r>
        </a:p>
      </xdr:txBody>
    </xdr:sp>
    <xdr:clientData/>
  </xdr:oneCellAnchor>
  <xdr:twoCellAnchor>
    <xdr:from>
      <xdr:col>75</xdr:col>
      <xdr:colOff>285750</xdr:colOff>
      <xdr:row>34</xdr:row>
      <xdr:rowOff>114300</xdr:rowOff>
    </xdr:from>
    <xdr:to>
      <xdr:col>76</xdr:col>
      <xdr:colOff>66675</xdr:colOff>
      <xdr:row>34</xdr:row>
      <xdr:rowOff>361950</xdr:rowOff>
    </xdr:to>
    <xdr:sp>
      <xdr:nvSpPr>
        <xdr:cNvPr id="75" name="Oval 75"/>
        <xdr:cNvSpPr>
          <a:spLocks/>
        </xdr:cNvSpPr>
      </xdr:nvSpPr>
      <xdr:spPr>
        <a:xfrm>
          <a:off x="33947100" y="142494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76</xdr:col>
      <xdr:colOff>0</xdr:colOff>
      <xdr:row>34</xdr:row>
      <xdr:rowOff>247650</xdr:rowOff>
    </xdr:from>
    <xdr:ext cx="495300" cy="438150"/>
    <xdr:sp>
      <xdr:nvSpPr>
        <xdr:cNvPr id="76" name="TextBox 76"/>
        <xdr:cNvSpPr txBox="1">
          <a:spLocks noChangeArrowheads="1"/>
        </xdr:cNvSpPr>
      </xdr:nvSpPr>
      <xdr:spPr>
        <a:xfrm>
          <a:off x="34099500" y="143827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x38</a:t>
          </a:r>
        </a:p>
      </xdr:txBody>
    </xdr:sp>
    <xdr:clientData/>
  </xdr:oneCellAnchor>
  <xdr:twoCellAnchor>
    <xdr:from>
      <xdr:col>36</xdr:col>
      <xdr:colOff>247650</xdr:colOff>
      <xdr:row>28</xdr:row>
      <xdr:rowOff>171450</xdr:rowOff>
    </xdr:from>
    <xdr:to>
      <xdr:col>37</xdr:col>
      <xdr:colOff>28575</xdr:colOff>
      <xdr:row>28</xdr:row>
      <xdr:rowOff>428625</xdr:rowOff>
    </xdr:to>
    <xdr:sp>
      <xdr:nvSpPr>
        <xdr:cNvPr id="77" name="Oval 77"/>
        <xdr:cNvSpPr>
          <a:spLocks/>
        </xdr:cNvSpPr>
      </xdr:nvSpPr>
      <xdr:spPr>
        <a:xfrm>
          <a:off x="16821150" y="116776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36</xdr:col>
      <xdr:colOff>381000</xdr:colOff>
      <xdr:row>28</xdr:row>
      <xdr:rowOff>371475</xdr:rowOff>
    </xdr:from>
    <xdr:ext cx="495300" cy="438150"/>
    <xdr:sp>
      <xdr:nvSpPr>
        <xdr:cNvPr id="78" name="TextBox 78"/>
        <xdr:cNvSpPr txBox="1">
          <a:spLocks noChangeArrowheads="1"/>
        </xdr:cNvSpPr>
      </xdr:nvSpPr>
      <xdr:spPr>
        <a:xfrm>
          <a:off x="16954500" y="118776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x39</a:t>
          </a:r>
        </a:p>
      </xdr:txBody>
    </xdr:sp>
    <xdr:clientData/>
  </xdr:oneCellAnchor>
  <xdr:twoCellAnchor>
    <xdr:from>
      <xdr:col>64</xdr:col>
      <xdr:colOff>200025</xdr:colOff>
      <xdr:row>35</xdr:row>
      <xdr:rowOff>152400</xdr:rowOff>
    </xdr:from>
    <xdr:to>
      <xdr:col>64</xdr:col>
      <xdr:colOff>419100</xdr:colOff>
      <xdr:row>35</xdr:row>
      <xdr:rowOff>400050</xdr:rowOff>
    </xdr:to>
    <xdr:sp>
      <xdr:nvSpPr>
        <xdr:cNvPr id="79" name="Oval 79"/>
        <xdr:cNvSpPr>
          <a:spLocks/>
        </xdr:cNvSpPr>
      </xdr:nvSpPr>
      <xdr:spPr>
        <a:xfrm>
          <a:off x="29041725" y="147256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64</xdr:col>
      <xdr:colOff>333375</xdr:colOff>
      <xdr:row>35</xdr:row>
      <xdr:rowOff>314325</xdr:rowOff>
    </xdr:from>
    <xdr:ext cx="485775" cy="438150"/>
    <xdr:sp>
      <xdr:nvSpPr>
        <xdr:cNvPr id="80" name="TextBox 80"/>
        <xdr:cNvSpPr txBox="1">
          <a:spLocks noChangeArrowheads="1"/>
        </xdr:cNvSpPr>
      </xdr:nvSpPr>
      <xdr:spPr>
        <a:xfrm>
          <a:off x="29175075" y="14887575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x40</a:t>
          </a:r>
        </a:p>
      </xdr:txBody>
    </xdr:sp>
    <xdr:clientData/>
  </xdr:oneCellAnchor>
  <xdr:twoCellAnchor>
    <xdr:from>
      <xdr:col>51</xdr:col>
      <xdr:colOff>266700</xdr:colOff>
      <xdr:row>55</xdr:row>
      <xdr:rowOff>133350</xdr:rowOff>
    </xdr:from>
    <xdr:to>
      <xdr:col>52</xdr:col>
      <xdr:colOff>47625</xdr:colOff>
      <xdr:row>55</xdr:row>
      <xdr:rowOff>390525</xdr:rowOff>
    </xdr:to>
    <xdr:sp>
      <xdr:nvSpPr>
        <xdr:cNvPr id="81" name="Oval 81"/>
        <xdr:cNvSpPr>
          <a:spLocks/>
        </xdr:cNvSpPr>
      </xdr:nvSpPr>
      <xdr:spPr>
        <a:xfrm>
          <a:off x="23412450" y="234696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51</xdr:col>
      <xdr:colOff>381000</xdr:colOff>
      <xdr:row>55</xdr:row>
      <xdr:rowOff>314325</xdr:rowOff>
    </xdr:from>
    <xdr:ext cx="495300" cy="438150"/>
    <xdr:sp>
      <xdr:nvSpPr>
        <xdr:cNvPr id="82" name="TextBox 82"/>
        <xdr:cNvSpPr txBox="1">
          <a:spLocks noChangeArrowheads="1"/>
        </xdr:cNvSpPr>
      </xdr:nvSpPr>
      <xdr:spPr>
        <a:xfrm>
          <a:off x="23526750" y="236505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x41</a:t>
          </a:r>
        </a:p>
      </xdr:txBody>
    </xdr:sp>
    <xdr:clientData/>
  </xdr:oneCellAnchor>
  <xdr:twoCellAnchor>
    <xdr:from>
      <xdr:col>20</xdr:col>
      <xdr:colOff>390525</xdr:colOff>
      <xdr:row>41</xdr:row>
      <xdr:rowOff>0</xdr:rowOff>
    </xdr:from>
    <xdr:to>
      <xdr:col>21</xdr:col>
      <xdr:colOff>171450</xdr:colOff>
      <xdr:row>41</xdr:row>
      <xdr:rowOff>247650</xdr:rowOff>
    </xdr:to>
    <xdr:sp>
      <xdr:nvSpPr>
        <xdr:cNvPr id="83" name="Oval 83"/>
        <xdr:cNvSpPr>
          <a:spLocks/>
        </xdr:cNvSpPr>
      </xdr:nvSpPr>
      <xdr:spPr>
        <a:xfrm>
          <a:off x="9953625" y="172021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21</xdr:col>
      <xdr:colOff>114300</xdr:colOff>
      <xdr:row>41</xdr:row>
      <xdr:rowOff>190500</xdr:rowOff>
    </xdr:from>
    <xdr:ext cx="485775" cy="438150"/>
    <xdr:sp>
      <xdr:nvSpPr>
        <xdr:cNvPr id="84" name="TextBox 84"/>
        <xdr:cNvSpPr txBox="1">
          <a:spLocks noChangeArrowheads="1"/>
        </xdr:cNvSpPr>
      </xdr:nvSpPr>
      <xdr:spPr>
        <a:xfrm>
          <a:off x="10115550" y="1739265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x42</a:t>
          </a:r>
        </a:p>
      </xdr:txBody>
    </xdr:sp>
    <xdr:clientData/>
  </xdr:oneCellAnchor>
  <xdr:twoCellAnchor>
    <xdr:from>
      <xdr:col>74</xdr:col>
      <xdr:colOff>238125</xdr:colOff>
      <xdr:row>7</xdr:row>
      <xdr:rowOff>314325</xdr:rowOff>
    </xdr:from>
    <xdr:to>
      <xdr:col>75</xdr:col>
      <xdr:colOff>19050</xdr:colOff>
      <xdr:row>8</xdr:row>
      <xdr:rowOff>123825</xdr:rowOff>
    </xdr:to>
    <xdr:sp>
      <xdr:nvSpPr>
        <xdr:cNvPr id="85" name="Oval 85"/>
        <xdr:cNvSpPr>
          <a:spLocks/>
        </xdr:cNvSpPr>
      </xdr:nvSpPr>
      <xdr:spPr>
        <a:xfrm>
          <a:off x="33461325" y="26193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74</xdr:col>
      <xdr:colOff>381000</xdr:colOff>
      <xdr:row>8</xdr:row>
      <xdr:rowOff>66675</xdr:rowOff>
    </xdr:from>
    <xdr:ext cx="495300" cy="438150"/>
    <xdr:sp>
      <xdr:nvSpPr>
        <xdr:cNvPr id="86" name="TextBox 86"/>
        <xdr:cNvSpPr txBox="1">
          <a:spLocks noChangeArrowheads="1"/>
        </xdr:cNvSpPr>
      </xdr:nvSpPr>
      <xdr:spPr>
        <a:xfrm>
          <a:off x="33604200" y="28098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x43</a:t>
          </a:r>
        </a:p>
      </xdr:txBody>
    </xdr:sp>
    <xdr:clientData/>
  </xdr:oneCellAnchor>
  <xdr:twoCellAnchor>
    <xdr:from>
      <xdr:col>76</xdr:col>
      <xdr:colOff>361950</xdr:colOff>
      <xdr:row>24</xdr:row>
      <xdr:rowOff>133350</xdr:rowOff>
    </xdr:from>
    <xdr:to>
      <xdr:col>77</xdr:col>
      <xdr:colOff>142875</xdr:colOff>
      <xdr:row>24</xdr:row>
      <xdr:rowOff>390525</xdr:rowOff>
    </xdr:to>
    <xdr:sp>
      <xdr:nvSpPr>
        <xdr:cNvPr id="87" name="Oval 87"/>
        <xdr:cNvSpPr>
          <a:spLocks/>
        </xdr:cNvSpPr>
      </xdr:nvSpPr>
      <xdr:spPr>
        <a:xfrm>
          <a:off x="34461450" y="98869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57150</xdr:colOff>
      <xdr:row>24</xdr:row>
      <xdr:rowOff>314325</xdr:rowOff>
    </xdr:from>
    <xdr:ext cx="495300" cy="438150"/>
    <xdr:sp>
      <xdr:nvSpPr>
        <xdr:cNvPr id="88" name="TextBox 88"/>
        <xdr:cNvSpPr txBox="1">
          <a:spLocks noChangeArrowheads="1"/>
        </xdr:cNvSpPr>
      </xdr:nvSpPr>
      <xdr:spPr>
        <a:xfrm>
          <a:off x="34594800" y="100679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x44</a:t>
          </a:r>
        </a:p>
      </xdr:txBody>
    </xdr:sp>
    <xdr:clientData/>
  </xdr:oneCellAnchor>
  <xdr:twoCellAnchor>
    <xdr:from>
      <xdr:col>1</xdr:col>
      <xdr:colOff>771525</xdr:colOff>
      <xdr:row>29</xdr:row>
      <xdr:rowOff>409575</xdr:rowOff>
    </xdr:from>
    <xdr:to>
      <xdr:col>2</xdr:col>
      <xdr:colOff>152400</xdr:colOff>
      <xdr:row>30</xdr:row>
      <xdr:rowOff>228600</xdr:rowOff>
    </xdr:to>
    <xdr:sp>
      <xdr:nvSpPr>
        <xdr:cNvPr id="89" name="Oval 89"/>
        <xdr:cNvSpPr>
          <a:spLocks/>
        </xdr:cNvSpPr>
      </xdr:nvSpPr>
      <xdr:spPr>
        <a:xfrm>
          <a:off x="1609725" y="1235392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57150</xdr:colOff>
      <xdr:row>30</xdr:row>
      <xdr:rowOff>123825</xdr:rowOff>
    </xdr:from>
    <xdr:ext cx="495300" cy="438150"/>
    <xdr:sp>
      <xdr:nvSpPr>
        <xdr:cNvPr id="90" name="TextBox 90"/>
        <xdr:cNvSpPr txBox="1">
          <a:spLocks noChangeArrowheads="1"/>
        </xdr:cNvSpPr>
      </xdr:nvSpPr>
      <xdr:spPr>
        <a:xfrm>
          <a:off x="1733550" y="125063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x45</a:t>
          </a:r>
        </a:p>
      </xdr:txBody>
    </xdr:sp>
    <xdr:clientData/>
  </xdr:oneCellAnchor>
  <xdr:twoCellAnchor>
    <xdr:from>
      <xdr:col>69</xdr:col>
      <xdr:colOff>352425</xdr:colOff>
      <xdr:row>26</xdr:row>
      <xdr:rowOff>333375</xdr:rowOff>
    </xdr:from>
    <xdr:to>
      <xdr:col>70</xdr:col>
      <xdr:colOff>133350</xdr:colOff>
      <xdr:row>27</xdr:row>
      <xdr:rowOff>152400</xdr:rowOff>
    </xdr:to>
    <xdr:sp>
      <xdr:nvSpPr>
        <xdr:cNvPr id="91" name="Oval 91"/>
        <xdr:cNvSpPr>
          <a:spLocks/>
        </xdr:cNvSpPr>
      </xdr:nvSpPr>
      <xdr:spPr>
        <a:xfrm>
          <a:off x="31384875" y="1096327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70</xdr:col>
      <xdr:colOff>57150</xdr:colOff>
      <xdr:row>27</xdr:row>
      <xdr:rowOff>66675</xdr:rowOff>
    </xdr:from>
    <xdr:ext cx="495300" cy="438150"/>
    <xdr:sp>
      <xdr:nvSpPr>
        <xdr:cNvPr id="92" name="TextBox 92"/>
        <xdr:cNvSpPr txBox="1">
          <a:spLocks noChangeArrowheads="1"/>
        </xdr:cNvSpPr>
      </xdr:nvSpPr>
      <xdr:spPr>
        <a:xfrm>
          <a:off x="31527750" y="111347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x46</a:t>
          </a:r>
        </a:p>
      </xdr:txBody>
    </xdr:sp>
    <xdr:clientData/>
  </xdr:oneCellAnchor>
  <xdr:twoCellAnchor>
    <xdr:from>
      <xdr:col>53</xdr:col>
      <xdr:colOff>266700</xdr:colOff>
      <xdr:row>24</xdr:row>
      <xdr:rowOff>47625</xdr:rowOff>
    </xdr:from>
    <xdr:to>
      <xdr:col>54</xdr:col>
      <xdr:colOff>47625</xdr:colOff>
      <xdr:row>24</xdr:row>
      <xdr:rowOff>304800</xdr:rowOff>
    </xdr:to>
    <xdr:sp>
      <xdr:nvSpPr>
        <xdr:cNvPr id="93" name="Oval 93"/>
        <xdr:cNvSpPr>
          <a:spLocks/>
        </xdr:cNvSpPr>
      </xdr:nvSpPr>
      <xdr:spPr>
        <a:xfrm>
          <a:off x="24288750" y="98012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53</xdr:col>
      <xdr:colOff>381000</xdr:colOff>
      <xdr:row>24</xdr:row>
      <xdr:rowOff>247650</xdr:rowOff>
    </xdr:from>
    <xdr:ext cx="495300" cy="438150"/>
    <xdr:sp>
      <xdr:nvSpPr>
        <xdr:cNvPr id="94" name="TextBox 94"/>
        <xdr:cNvSpPr txBox="1">
          <a:spLocks noChangeArrowheads="1"/>
        </xdr:cNvSpPr>
      </xdr:nvSpPr>
      <xdr:spPr>
        <a:xfrm>
          <a:off x="24403050" y="100012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x47</a:t>
          </a:r>
        </a:p>
      </xdr:txBody>
    </xdr:sp>
    <xdr:clientData/>
  </xdr:oneCellAnchor>
  <xdr:twoCellAnchor>
    <xdr:from>
      <xdr:col>31</xdr:col>
      <xdr:colOff>428625</xdr:colOff>
      <xdr:row>37</xdr:row>
      <xdr:rowOff>123825</xdr:rowOff>
    </xdr:from>
    <xdr:to>
      <xdr:col>32</xdr:col>
      <xdr:colOff>209550</xdr:colOff>
      <xdr:row>37</xdr:row>
      <xdr:rowOff>371475</xdr:rowOff>
    </xdr:to>
    <xdr:sp>
      <xdr:nvSpPr>
        <xdr:cNvPr id="95" name="Oval 95"/>
        <xdr:cNvSpPr>
          <a:spLocks/>
        </xdr:cNvSpPr>
      </xdr:nvSpPr>
      <xdr:spPr>
        <a:xfrm>
          <a:off x="14811375" y="155733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32</xdr:col>
      <xdr:colOff>114300</xdr:colOff>
      <xdr:row>37</xdr:row>
      <xdr:rowOff>247650</xdr:rowOff>
    </xdr:from>
    <xdr:ext cx="485775" cy="438150"/>
    <xdr:sp>
      <xdr:nvSpPr>
        <xdr:cNvPr id="96" name="TextBox 96"/>
        <xdr:cNvSpPr txBox="1">
          <a:spLocks noChangeArrowheads="1"/>
        </xdr:cNvSpPr>
      </xdr:nvSpPr>
      <xdr:spPr>
        <a:xfrm>
          <a:off x="14935200" y="1569720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x48</a:t>
          </a:r>
        </a:p>
      </xdr:txBody>
    </xdr:sp>
    <xdr:clientData/>
  </xdr:oneCellAnchor>
  <xdr:twoCellAnchor>
    <xdr:from>
      <xdr:col>69</xdr:col>
      <xdr:colOff>247650</xdr:colOff>
      <xdr:row>42</xdr:row>
      <xdr:rowOff>238125</xdr:rowOff>
    </xdr:from>
    <xdr:to>
      <xdr:col>74</xdr:col>
      <xdr:colOff>171450</xdr:colOff>
      <xdr:row>44</xdr:row>
      <xdr:rowOff>104775</xdr:rowOff>
    </xdr:to>
    <xdr:sp>
      <xdr:nvSpPr>
        <xdr:cNvPr id="97" name="Line 97"/>
        <xdr:cNvSpPr>
          <a:spLocks/>
        </xdr:cNvSpPr>
      </xdr:nvSpPr>
      <xdr:spPr>
        <a:xfrm>
          <a:off x="31280100" y="17878425"/>
          <a:ext cx="2114550" cy="742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228600</xdr:colOff>
      <xdr:row>49</xdr:row>
      <xdr:rowOff>266700</xdr:rowOff>
    </xdr:from>
    <xdr:to>
      <xdr:col>33</xdr:col>
      <xdr:colOff>238125</xdr:colOff>
      <xdr:row>56</xdr:row>
      <xdr:rowOff>314325</xdr:rowOff>
    </xdr:to>
    <xdr:sp>
      <xdr:nvSpPr>
        <xdr:cNvPr id="98" name="Line 98"/>
        <xdr:cNvSpPr>
          <a:spLocks/>
        </xdr:cNvSpPr>
      </xdr:nvSpPr>
      <xdr:spPr>
        <a:xfrm flipV="1">
          <a:off x="11544300" y="20974050"/>
          <a:ext cx="3952875" cy="3114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54</xdr:col>
      <xdr:colOff>47625</xdr:colOff>
      <xdr:row>35</xdr:row>
      <xdr:rowOff>190500</xdr:rowOff>
    </xdr:from>
    <xdr:to>
      <xdr:col>57</xdr:col>
      <xdr:colOff>76200</xdr:colOff>
      <xdr:row>42</xdr:row>
      <xdr:rowOff>209550</xdr:rowOff>
    </xdr:to>
    <xdr:sp>
      <xdr:nvSpPr>
        <xdr:cNvPr id="99" name="Line 99"/>
        <xdr:cNvSpPr>
          <a:spLocks/>
        </xdr:cNvSpPr>
      </xdr:nvSpPr>
      <xdr:spPr>
        <a:xfrm flipH="1" flipV="1">
          <a:off x="24507825" y="14763750"/>
          <a:ext cx="1343025" cy="3086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95250</xdr:colOff>
      <xdr:row>47</xdr:row>
      <xdr:rowOff>28575</xdr:rowOff>
    </xdr:from>
    <xdr:to>
      <xdr:col>8</xdr:col>
      <xdr:colOff>228600</xdr:colOff>
      <xdr:row>48</xdr:row>
      <xdr:rowOff>190500</xdr:rowOff>
    </xdr:to>
    <xdr:sp>
      <xdr:nvSpPr>
        <xdr:cNvPr id="100" name="Line 100"/>
        <xdr:cNvSpPr>
          <a:spLocks/>
        </xdr:cNvSpPr>
      </xdr:nvSpPr>
      <xdr:spPr>
        <a:xfrm flipV="1">
          <a:off x="3524250" y="19859625"/>
          <a:ext cx="1009650" cy="600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171450</xdr:colOff>
      <xdr:row>40</xdr:row>
      <xdr:rowOff>247650</xdr:rowOff>
    </xdr:from>
    <xdr:to>
      <xdr:col>32</xdr:col>
      <xdr:colOff>238125</xdr:colOff>
      <xdr:row>41</xdr:row>
      <xdr:rowOff>123825</xdr:rowOff>
    </xdr:to>
    <xdr:sp>
      <xdr:nvSpPr>
        <xdr:cNvPr id="101" name="Line 101"/>
        <xdr:cNvSpPr>
          <a:spLocks/>
        </xdr:cNvSpPr>
      </xdr:nvSpPr>
      <xdr:spPr>
        <a:xfrm flipH="1">
          <a:off x="10172700" y="17011650"/>
          <a:ext cx="4886325" cy="314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78</xdr:col>
      <xdr:colOff>123825</xdr:colOff>
      <xdr:row>11</xdr:row>
      <xdr:rowOff>85725</xdr:rowOff>
    </xdr:from>
    <xdr:to>
      <xdr:col>79</xdr:col>
      <xdr:colOff>171450</xdr:colOff>
      <xdr:row>12</xdr:row>
      <xdr:rowOff>104775</xdr:rowOff>
    </xdr:to>
    <xdr:sp>
      <xdr:nvSpPr>
        <xdr:cNvPr id="102" name="Line 102"/>
        <xdr:cNvSpPr>
          <a:spLocks/>
        </xdr:cNvSpPr>
      </xdr:nvSpPr>
      <xdr:spPr>
        <a:xfrm flipV="1">
          <a:off x="35099625" y="4143375"/>
          <a:ext cx="485775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190500</xdr:colOff>
      <xdr:row>17</xdr:row>
      <xdr:rowOff>200025</xdr:rowOff>
    </xdr:from>
    <xdr:to>
      <xdr:col>77</xdr:col>
      <xdr:colOff>295275</xdr:colOff>
      <xdr:row>19</xdr:row>
      <xdr:rowOff>238125</xdr:rowOff>
    </xdr:to>
    <xdr:sp>
      <xdr:nvSpPr>
        <xdr:cNvPr id="103" name="Line 103"/>
        <xdr:cNvSpPr>
          <a:spLocks/>
        </xdr:cNvSpPr>
      </xdr:nvSpPr>
      <xdr:spPr>
        <a:xfrm flipH="1" flipV="1">
          <a:off x="34728150" y="6886575"/>
          <a:ext cx="114300" cy="914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74</xdr:col>
      <xdr:colOff>295275</xdr:colOff>
      <xdr:row>34</xdr:row>
      <xdr:rowOff>361950</xdr:rowOff>
    </xdr:from>
    <xdr:to>
      <xdr:col>75</xdr:col>
      <xdr:colOff>381000</xdr:colOff>
      <xdr:row>44</xdr:row>
      <xdr:rowOff>9525</xdr:rowOff>
    </xdr:to>
    <xdr:sp>
      <xdr:nvSpPr>
        <xdr:cNvPr id="104" name="Line 104"/>
        <xdr:cNvSpPr>
          <a:spLocks/>
        </xdr:cNvSpPr>
      </xdr:nvSpPr>
      <xdr:spPr>
        <a:xfrm flipV="1">
          <a:off x="33518475" y="14497050"/>
          <a:ext cx="523875" cy="4029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69</xdr:col>
      <xdr:colOff>190500</xdr:colOff>
      <xdr:row>38</xdr:row>
      <xdr:rowOff>171450</xdr:rowOff>
    </xdr:from>
    <xdr:to>
      <xdr:col>70</xdr:col>
      <xdr:colOff>381000</xdr:colOff>
      <xdr:row>42</xdr:row>
      <xdr:rowOff>85725</xdr:rowOff>
    </xdr:to>
    <xdr:sp>
      <xdr:nvSpPr>
        <xdr:cNvPr id="105" name="Line 105"/>
        <xdr:cNvSpPr>
          <a:spLocks/>
        </xdr:cNvSpPr>
      </xdr:nvSpPr>
      <xdr:spPr>
        <a:xfrm flipH="1">
          <a:off x="31222950" y="16059150"/>
          <a:ext cx="628650" cy="1666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133350</xdr:colOff>
      <xdr:row>30</xdr:row>
      <xdr:rowOff>152400</xdr:rowOff>
    </xdr:from>
    <xdr:to>
      <xdr:col>12</xdr:col>
      <xdr:colOff>381000</xdr:colOff>
      <xdr:row>36</xdr:row>
      <xdr:rowOff>161925</xdr:rowOff>
    </xdr:to>
    <xdr:sp>
      <xdr:nvSpPr>
        <xdr:cNvPr id="106" name="Line 106"/>
        <xdr:cNvSpPr>
          <a:spLocks/>
        </xdr:cNvSpPr>
      </xdr:nvSpPr>
      <xdr:spPr>
        <a:xfrm flipH="1" flipV="1">
          <a:off x="1809750" y="12534900"/>
          <a:ext cx="4629150" cy="2638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56</xdr:col>
      <xdr:colOff>390525</xdr:colOff>
      <xdr:row>28</xdr:row>
      <xdr:rowOff>161925</xdr:rowOff>
    </xdr:from>
    <xdr:to>
      <xdr:col>61</xdr:col>
      <xdr:colOff>285750</xdr:colOff>
      <xdr:row>30</xdr:row>
      <xdr:rowOff>352425</xdr:rowOff>
    </xdr:to>
    <xdr:sp>
      <xdr:nvSpPr>
        <xdr:cNvPr id="107" name="Line 107"/>
        <xdr:cNvSpPr>
          <a:spLocks/>
        </xdr:cNvSpPr>
      </xdr:nvSpPr>
      <xdr:spPr>
        <a:xfrm flipV="1">
          <a:off x="25727025" y="11668125"/>
          <a:ext cx="2085975" cy="1066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62</xdr:col>
      <xdr:colOff>47625</xdr:colOff>
      <xdr:row>28</xdr:row>
      <xdr:rowOff>161925</xdr:rowOff>
    </xdr:from>
    <xdr:to>
      <xdr:col>65</xdr:col>
      <xdr:colOff>95250</xdr:colOff>
      <xdr:row>30</xdr:row>
      <xdr:rowOff>9525</xdr:rowOff>
    </xdr:to>
    <xdr:sp>
      <xdr:nvSpPr>
        <xdr:cNvPr id="108" name="Line 108"/>
        <xdr:cNvSpPr>
          <a:spLocks/>
        </xdr:cNvSpPr>
      </xdr:nvSpPr>
      <xdr:spPr>
        <a:xfrm>
          <a:off x="28013025" y="11668125"/>
          <a:ext cx="1362075" cy="723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49</xdr:col>
      <xdr:colOff>133350</xdr:colOff>
      <xdr:row>30</xdr:row>
      <xdr:rowOff>114300</xdr:rowOff>
    </xdr:from>
    <xdr:to>
      <xdr:col>56</xdr:col>
      <xdr:colOff>190500</xdr:colOff>
      <xdr:row>30</xdr:row>
      <xdr:rowOff>400050</xdr:rowOff>
    </xdr:to>
    <xdr:sp>
      <xdr:nvSpPr>
        <xdr:cNvPr id="109" name="Line 109"/>
        <xdr:cNvSpPr>
          <a:spLocks/>
        </xdr:cNvSpPr>
      </xdr:nvSpPr>
      <xdr:spPr>
        <a:xfrm>
          <a:off x="22402800" y="12496800"/>
          <a:ext cx="3124200" cy="2857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45</xdr:col>
      <xdr:colOff>114300</xdr:colOff>
      <xdr:row>33</xdr:row>
      <xdr:rowOff>409575</xdr:rowOff>
    </xdr:from>
    <xdr:to>
      <xdr:col>47</xdr:col>
      <xdr:colOff>409575</xdr:colOff>
      <xdr:row>36</xdr:row>
      <xdr:rowOff>200025</xdr:rowOff>
    </xdr:to>
    <xdr:sp>
      <xdr:nvSpPr>
        <xdr:cNvPr id="110" name="Line 110"/>
        <xdr:cNvSpPr>
          <a:spLocks/>
        </xdr:cNvSpPr>
      </xdr:nvSpPr>
      <xdr:spPr>
        <a:xfrm flipH="1" flipV="1">
          <a:off x="20631150" y="14106525"/>
          <a:ext cx="1171575" cy="1104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64</xdr:col>
      <xdr:colOff>314325</xdr:colOff>
      <xdr:row>30</xdr:row>
      <xdr:rowOff>190500</xdr:rowOff>
    </xdr:from>
    <xdr:to>
      <xdr:col>65</xdr:col>
      <xdr:colOff>190500</xdr:colOff>
      <xdr:row>35</xdr:row>
      <xdr:rowOff>152400</xdr:rowOff>
    </xdr:to>
    <xdr:sp>
      <xdr:nvSpPr>
        <xdr:cNvPr id="111" name="Line 111"/>
        <xdr:cNvSpPr>
          <a:spLocks/>
        </xdr:cNvSpPr>
      </xdr:nvSpPr>
      <xdr:spPr>
        <a:xfrm flipH="1">
          <a:off x="29156025" y="12573000"/>
          <a:ext cx="314325" cy="2152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63</xdr:col>
      <xdr:colOff>0</xdr:colOff>
      <xdr:row>46</xdr:row>
      <xdr:rowOff>76200</xdr:rowOff>
    </xdr:from>
    <xdr:to>
      <xdr:col>63</xdr:col>
      <xdr:colOff>19050</xdr:colOff>
      <xdr:row>50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28403550" y="19469100"/>
          <a:ext cx="19050" cy="1676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74</xdr:col>
      <xdr:colOff>428625</xdr:colOff>
      <xdr:row>5</xdr:row>
      <xdr:rowOff>133350</xdr:rowOff>
    </xdr:from>
    <xdr:to>
      <xdr:col>77</xdr:col>
      <xdr:colOff>390525</xdr:colOff>
      <xdr:row>7</xdr:row>
      <xdr:rowOff>361950</xdr:rowOff>
    </xdr:to>
    <xdr:sp>
      <xdr:nvSpPr>
        <xdr:cNvPr id="113" name="Line 113"/>
        <xdr:cNvSpPr>
          <a:spLocks/>
        </xdr:cNvSpPr>
      </xdr:nvSpPr>
      <xdr:spPr>
        <a:xfrm flipH="1">
          <a:off x="33651825" y="1562100"/>
          <a:ext cx="1276350" cy="1104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76</xdr:col>
      <xdr:colOff>342900</xdr:colOff>
      <xdr:row>20</xdr:row>
      <xdr:rowOff>9525</xdr:rowOff>
    </xdr:from>
    <xdr:to>
      <xdr:col>77</xdr:col>
      <xdr:colOff>238125</xdr:colOff>
      <xdr:row>20</xdr:row>
      <xdr:rowOff>390525</xdr:rowOff>
    </xdr:to>
    <xdr:sp>
      <xdr:nvSpPr>
        <xdr:cNvPr id="114" name="Line 114"/>
        <xdr:cNvSpPr>
          <a:spLocks/>
        </xdr:cNvSpPr>
      </xdr:nvSpPr>
      <xdr:spPr>
        <a:xfrm flipV="1">
          <a:off x="34442400" y="8010525"/>
          <a:ext cx="333375" cy="381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342900</xdr:colOff>
      <xdr:row>8</xdr:row>
      <xdr:rowOff>400050</xdr:rowOff>
    </xdr:from>
    <xdr:to>
      <xdr:col>79</xdr:col>
      <xdr:colOff>28575</xdr:colOff>
      <xdr:row>9</xdr:row>
      <xdr:rowOff>276225</xdr:rowOff>
    </xdr:to>
    <xdr:sp>
      <xdr:nvSpPr>
        <xdr:cNvPr id="115" name="Line 115"/>
        <xdr:cNvSpPr>
          <a:spLocks/>
        </xdr:cNvSpPr>
      </xdr:nvSpPr>
      <xdr:spPr>
        <a:xfrm flipH="1" flipV="1">
          <a:off x="34880550" y="3143250"/>
          <a:ext cx="561975" cy="314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54</xdr:col>
      <xdr:colOff>28575</xdr:colOff>
      <xdr:row>21</xdr:row>
      <xdr:rowOff>209550</xdr:rowOff>
    </xdr:from>
    <xdr:to>
      <xdr:col>60</xdr:col>
      <xdr:colOff>333375</xdr:colOff>
      <xdr:row>24</xdr:row>
      <xdr:rowOff>133350</xdr:rowOff>
    </xdr:to>
    <xdr:sp>
      <xdr:nvSpPr>
        <xdr:cNvPr id="116" name="Line 116"/>
        <xdr:cNvSpPr>
          <a:spLocks/>
        </xdr:cNvSpPr>
      </xdr:nvSpPr>
      <xdr:spPr>
        <a:xfrm flipH="1">
          <a:off x="24488775" y="8648700"/>
          <a:ext cx="2933700" cy="1238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34</xdr:col>
      <xdr:colOff>295275</xdr:colOff>
      <xdr:row>23</xdr:row>
      <xdr:rowOff>133350</xdr:rowOff>
    </xdr:from>
    <xdr:to>
      <xdr:col>46</xdr:col>
      <xdr:colOff>247650</xdr:colOff>
      <xdr:row>23</xdr:row>
      <xdr:rowOff>400050</xdr:rowOff>
    </xdr:to>
    <xdr:sp>
      <xdr:nvSpPr>
        <xdr:cNvPr id="117" name="Line 117"/>
        <xdr:cNvSpPr>
          <a:spLocks/>
        </xdr:cNvSpPr>
      </xdr:nvSpPr>
      <xdr:spPr>
        <a:xfrm flipH="1">
          <a:off x="15992475" y="9448800"/>
          <a:ext cx="5210175" cy="266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57</xdr:col>
      <xdr:colOff>228600</xdr:colOff>
      <xdr:row>42</xdr:row>
      <xdr:rowOff>371475</xdr:rowOff>
    </xdr:from>
    <xdr:to>
      <xdr:col>62</xdr:col>
      <xdr:colOff>342900</xdr:colOff>
      <xdr:row>45</xdr:row>
      <xdr:rowOff>333375</xdr:rowOff>
    </xdr:to>
    <xdr:sp>
      <xdr:nvSpPr>
        <xdr:cNvPr id="118" name="Line 118"/>
        <xdr:cNvSpPr>
          <a:spLocks/>
        </xdr:cNvSpPr>
      </xdr:nvSpPr>
      <xdr:spPr>
        <a:xfrm flipH="1" flipV="1">
          <a:off x="26003250" y="18011775"/>
          <a:ext cx="2305050" cy="1276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48</xdr:col>
      <xdr:colOff>152400</xdr:colOff>
      <xdr:row>35</xdr:row>
      <xdr:rowOff>104775</xdr:rowOff>
    </xdr:from>
    <xdr:to>
      <xdr:col>53</xdr:col>
      <xdr:colOff>314325</xdr:colOff>
      <xdr:row>36</xdr:row>
      <xdr:rowOff>247650</xdr:rowOff>
    </xdr:to>
    <xdr:sp>
      <xdr:nvSpPr>
        <xdr:cNvPr id="119" name="Line 119"/>
        <xdr:cNvSpPr>
          <a:spLocks/>
        </xdr:cNvSpPr>
      </xdr:nvSpPr>
      <xdr:spPr>
        <a:xfrm flipH="1">
          <a:off x="21983700" y="14678025"/>
          <a:ext cx="2352675" cy="581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13</xdr:col>
      <xdr:colOff>114300</xdr:colOff>
      <xdr:row>29</xdr:row>
      <xdr:rowOff>47625</xdr:rowOff>
    </xdr:from>
    <xdr:to>
      <xdr:col>18</xdr:col>
      <xdr:colOff>76200</xdr:colOff>
      <xdr:row>36</xdr:row>
      <xdr:rowOff>114300</xdr:rowOff>
    </xdr:to>
    <xdr:sp>
      <xdr:nvSpPr>
        <xdr:cNvPr id="120" name="Line 120"/>
        <xdr:cNvSpPr>
          <a:spLocks/>
        </xdr:cNvSpPr>
      </xdr:nvSpPr>
      <xdr:spPr>
        <a:xfrm flipH="1">
          <a:off x="6610350" y="11991975"/>
          <a:ext cx="2152650" cy="3133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45</xdr:col>
      <xdr:colOff>114300</xdr:colOff>
      <xdr:row>30</xdr:row>
      <xdr:rowOff>190500</xdr:rowOff>
    </xdr:from>
    <xdr:to>
      <xdr:col>48</xdr:col>
      <xdr:colOff>371475</xdr:colOff>
      <xdr:row>33</xdr:row>
      <xdr:rowOff>266700</xdr:rowOff>
    </xdr:to>
    <xdr:sp>
      <xdr:nvSpPr>
        <xdr:cNvPr id="121" name="Line 121"/>
        <xdr:cNvSpPr>
          <a:spLocks/>
        </xdr:cNvSpPr>
      </xdr:nvSpPr>
      <xdr:spPr>
        <a:xfrm flipV="1">
          <a:off x="20631150" y="12573000"/>
          <a:ext cx="1571625" cy="1390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419100</xdr:colOff>
      <xdr:row>47</xdr:row>
      <xdr:rowOff>28575</xdr:rowOff>
    </xdr:from>
    <xdr:to>
      <xdr:col>24</xdr:col>
      <xdr:colOff>47625</xdr:colOff>
      <xdr:row>56</xdr:row>
      <xdr:rowOff>323850</xdr:rowOff>
    </xdr:to>
    <xdr:sp>
      <xdr:nvSpPr>
        <xdr:cNvPr id="122" name="Line 122"/>
        <xdr:cNvSpPr>
          <a:spLocks/>
        </xdr:cNvSpPr>
      </xdr:nvSpPr>
      <xdr:spPr>
        <a:xfrm>
          <a:off x="4724400" y="19859625"/>
          <a:ext cx="6638925" cy="42386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247650</xdr:colOff>
      <xdr:row>5</xdr:row>
      <xdr:rowOff>190500</xdr:rowOff>
    </xdr:from>
    <xdr:to>
      <xdr:col>78</xdr:col>
      <xdr:colOff>19050</xdr:colOff>
      <xdr:row>8</xdr:row>
      <xdr:rowOff>228600</xdr:rowOff>
    </xdr:to>
    <xdr:sp>
      <xdr:nvSpPr>
        <xdr:cNvPr id="123" name="Line 123"/>
        <xdr:cNvSpPr>
          <a:spLocks/>
        </xdr:cNvSpPr>
      </xdr:nvSpPr>
      <xdr:spPr>
        <a:xfrm flipV="1">
          <a:off x="34785300" y="1619250"/>
          <a:ext cx="209550" cy="1352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190500</xdr:colOff>
      <xdr:row>12</xdr:row>
      <xdr:rowOff>304800</xdr:rowOff>
    </xdr:from>
    <xdr:to>
      <xdr:col>78</xdr:col>
      <xdr:colOff>9525</xdr:colOff>
      <xdr:row>16</xdr:row>
      <xdr:rowOff>390525</xdr:rowOff>
    </xdr:to>
    <xdr:sp>
      <xdr:nvSpPr>
        <xdr:cNvPr id="124" name="Line 124"/>
        <xdr:cNvSpPr>
          <a:spLocks/>
        </xdr:cNvSpPr>
      </xdr:nvSpPr>
      <xdr:spPr>
        <a:xfrm flipV="1">
          <a:off x="34728150" y="4800600"/>
          <a:ext cx="257175" cy="1838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34</xdr:col>
      <xdr:colOff>0</xdr:colOff>
      <xdr:row>45</xdr:row>
      <xdr:rowOff>38100</xdr:rowOff>
    </xdr:from>
    <xdr:to>
      <xdr:col>47</xdr:col>
      <xdr:colOff>361950</xdr:colOff>
      <xdr:row>49</xdr:row>
      <xdr:rowOff>152400</xdr:rowOff>
    </xdr:to>
    <xdr:sp>
      <xdr:nvSpPr>
        <xdr:cNvPr id="125" name="Line 125"/>
        <xdr:cNvSpPr>
          <a:spLocks/>
        </xdr:cNvSpPr>
      </xdr:nvSpPr>
      <xdr:spPr>
        <a:xfrm flipV="1">
          <a:off x="15697200" y="18992850"/>
          <a:ext cx="6057900" cy="1866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74</xdr:col>
      <xdr:colOff>219075</xdr:colOff>
      <xdr:row>12</xdr:row>
      <xdr:rowOff>85725</xdr:rowOff>
    </xdr:from>
    <xdr:to>
      <xdr:col>75</xdr:col>
      <xdr:colOff>209550</xdr:colOff>
      <xdr:row>18</xdr:row>
      <xdr:rowOff>400050</xdr:rowOff>
    </xdr:to>
    <xdr:sp>
      <xdr:nvSpPr>
        <xdr:cNvPr id="126" name="Line 126"/>
        <xdr:cNvSpPr>
          <a:spLocks/>
        </xdr:cNvSpPr>
      </xdr:nvSpPr>
      <xdr:spPr>
        <a:xfrm flipH="1">
          <a:off x="33442275" y="4581525"/>
          <a:ext cx="428625" cy="2943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47625</xdr:colOff>
      <xdr:row>24</xdr:row>
      <xdr:rowOff>390525</xdr:rowOff>
    </xdr:from>
    <xdr:to>
      <xdr:col>77</xdr:col>
      <xdr:colOff>190500</xdr:colOff>
      <xdr:row>28</xdr:row>
      <xdr:rowOff>304800</xdr:rowOff>
    </xdr:to>
    <xdr:sp>
      <xdr:nvSpPr>
        <xdr:cNvPr id="127" name="Line 127"/>
        <xdr:cNvSpPr>
          <a:spLocks/>
        </xdr:cNvSpPr>
      </xdr:nvSpPr>
      <xdr:spPr>
        <a:xfrm flipH="1" flipV="1">
          <a:off x="34585275" y="10144125"/>
          <a:ext cx="142875" cy="1666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34</xdr:col>
      <xdr:colOff>238125</xdr:colOff>
      <xdr:row>24</xdr:row>
      <xdr:rowOff>76200</xdr:rowOff>
    </xdr:from>
    <xdr:to>
      <xdr:col>36</xdr:col>
      <xdr:colOff>304800</xdr:colOff>
      <xdr:row>28</xdr:row>
      <xdr:rowOff>200025</xdr:rowOff>
    </xdr:to>
    <xdr:sp>
      <xdr:nvSpPr>
        <xdr:cNvPr id="128" name="Line 128"/>
        <xdr:cNvSpPr>
          <a:spLocks/>
        </xdr:cNvSpPr>
      </xdr:nvSpPr>
      <xdr:spPr>
        <a:xfrm>
          <a:off x="15935325" y="9829800"/>
          <a:ext cx="942975" cy="1876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61</xdr:col>
      <xdr:colOff>85725</xdr:colOff>
      <xdr:row>21</xdr:row>
      <xdr:rowOff>238125</xdr:rowOff>
    </xdr:from>
    <xdr:to>
      <xdr:col>66</xdr:col>
      <xdr:colOff>9525</xdr:colOff>
      <xdr:row>25</xdr:row>
      <xdr:rowOff>47625</xdr:rowOff>
    </xdr:to>
    <xdr:sp>
      <xdr:nvSpPr>
        <xdr:cNvPr id="129" name="Line 129"/>
        <xdr:cNvSpPr>
          <a:spLocks/>
        </xdr:cNvSpPr>
      </xdr:nvSpPr>
      <xdr:spPr>
        <a:xfrm flipH="1" flipV="1">
          <a:off x="27612975" y="8677275"/>
          <a:ext cx="2114550" cy="1562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48</xdr:col>
      <xdr:colOff>66675</xdr:colOff>
      <xdr:row>45</xdr:row>
      <xdr:rowOff>114300</xdr:rowOff>
    </xdr:from>
    <xdr:to>
      <xdr:col>51</xdr:col>
      <xdr:colOff>333375</xdr:colOff>
      <xdr:row>55</xdr:row>
      <xdr:rowOff>133350</xdr:rowOff>
    </xdr:to>
    <xdr:sp>
      <xdr:nvSpPr>
        <xdr:cNvPr id="130" name="Line 130"/>
        <xdr:cNvSpPr>
          <a:spLocks/>
        </xdr:cNvSpPr>
      </xdr:nvSpPr>
      <xdr:spPr>
        <a:xfrm>
          <a:off x="21897975" y="19069050"/>
          <a:ext cx="1581150" cy="4400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133350</xdr:colOff>
      <xdr:row>35</xdr:row>
      <xdr:rowOff>38100</xdr:rowOff>
    </xdr:from>
    <xdr:to>
      <xdr:col>5</xdr:col>
      <xdr:colOff>409575</xdr:colOff>
      <xdr:row>48</xdr:row>
      <xdr:rowOff>133350</xdr:rowOff>
    </xdr:to>
    <xdr:sp>
      <xdr:nvSpPr>
        <xdr:cNvPr id="131" name="Line 131"/>
        <xdr:cNvSpPr>
          <a:spLocks/>
        </xdr:cNvSpPr>
      </xdr:nvSpPr>
      <xdr:spPr>
        <a:xfrm>
          <a:off x="1809750" y="14611350"/>
          <a:ext cx="1590675" cy="5791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70</xdr:col>
      <xdr:colOff>85725</xdr:colOff>
      <xdr:row>19</xdr:row>
      <xdr:rowOff>190500</xdr:rowOff>
    </xdr:from>
    <xdr:to>
      <xdr:col>74</xdr:col>
      <xdr:colOff>142875</xdr:colOff>
      <xdr:row>26</xdr:row>
      <xdr:rowOff>361950</xdr:rowOff>
    </xdr:to>
    <xdr:sp>
      <xdr:nvSpPr>
        <xdr:cNvPr id="132" name="Line 132"/>
        <xdr:cNvSpPr>
          <a:spLocks/>
        </xdr:cNvSpPr>
      </xdr:nvSpPr>
      <xdr:spPr>
        <a:xfrm flipH="1">
          <a:off x="31556325" y="7753350"/>
          <a:ext cx="1809750" cy="3238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79</xdr:col>
      <xdr:colOff>161925</xdr:colOff>
      <xdr:row>10</xdr:row>
      <xdr:rowOff>9525</xdr:rowOff>
    </xdr:from>
    <xdr:to>
      <xdr:col>79</xdr:col>
      <xdr:colOff>238125</xdr:colOff>
      <xdr:row>10</xdr:row>
      <xdr:rowOff>333375</xdr:rowOff>
    </xdr:to>
    <xdr:sp>
      <xdr:nvSpPr>
        <xdr:cNvPr id="133" name="Line 133"/>
        <xdr:cNvSpPr>
          <a:spLocks/>
        </xdr:cNvSpPr>
      </xdr:nvSpPr>
      <xdr:spPr>
        <a:xfrm flipH="1" flipV="1">
          <a:off x="35575875" y="3629025"/>
          <a:ext cx="76200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75</xdr:col>
      <xdr:colOff>428625</xdr:colOff>
      <xdr:row>29</xdr:row>
      <xdr:rowOff>114300</xdr:rowOff>
    </xdr:from>
    <xdr:to>
      <xdr:col>77</xdr:col>
      <xdr:colOff>161925</xdr:colOff>
      <xdr:row>34</xdr:row>
      <xdr:rowOff>123825</xdr:rowOff>
    </xdr:to>
    <xdr:sp>
      <xdr:nvSpPr>
        <xdr:cNvPr id="134" name="Line 134"/>
        <xdr:cNvSpPr>
          <a:spLocks/>
        </xdr:cNvSpPr>
      </xdr:nvSpPr>
      <xdr:spPr>
        <a:xfrm flipV="1">
          <a:off x="34089975" y="12058650"/>
          <a:ext cx="609600" cy="2200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32</xdr:col>
      <xdr:colOff>152400</xdr:colOff>
      <xdr:row>28</xdr:row>
      <xdr:rowOff>409575</xdr:rowOff>
    </xdr:from>
    <xdr:to>
      <xdr:col>36</xdr:col>
      <xdr:colOff>304800</xdr:colOff>
      <xdr:row>37</xdr:row>
      <xdr:rowOff>133350</xdr:rowOff>
    </xdr:to>
    <xdr:sp>
      <xdr:nvSpPr>
        <xdr:cNvPr id="135" name="Line 135"/>
        <xdr:cNvSpPr>
          <a:spLocks/>
        </xdr:cNvSpPr>
      </xdr:nvSpPr>
      <xdr:spPr>
        <a:xfrm flipH="1">
          <a:off x="14973300" y="11915775"/>
          <a:ext cx="1905000" cy="3667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64</xdr:col>
      <xdr:colOff>409575</xdr:colOff>
      <xdr:row>35</xdr:row>
      <xdr:rowOff>323850</xdr:rowOff>
    </xdr:from>
    <xdr:to>
      <xdr:col>70</xdr:col>
      <xdr:colOff>314325</xdr:colOff>
      <xdr:row>38</xdr:row>
      <xdr:rowOff>9525</xdr:rowOff>
    </xdr:to>
    <xdr:sp>
      <xdr:nvSpPr>
        <xdr:cNvPr id="136" name="Line 136"/>
        <xdr:cNvSpPr>
          <a:spLocks/>
        </xdr:cNvSpPr>
      </xdr:nvSpPr>
      <xdr:spPr>
        <a:xfrm>
          <a:off x="29251275" y="14897100"/>
          <a:ext cx="2533650" cy="1000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52</xdr:col>
      <xdr:colOff>28575</xdr:colOff>
      <xdr:row>50</xdr:row>
      <xdr:rowOff>171450</xdr:rowOff>
    </xdr:from>
    <xdr:to>
      <xdr:col>62</xdr:col>
      <xdr:colOff>361950</xdr:colOff>
      <xdr:row>55</xdr:row>
      <xdr:rowOff>209550</xdr:rowOff>
    </xdr:to>
    <xdr:sp>
      <xdr:nvSpPr>
        <xdr:cNvPr id="137" name="Line 137"/>
        <xdr:cNvSpPr>
          <a:spLocks/>
        </xdr:cNvSpPr>
      </xdr:nvSpPr>
      <xdr:spPr>
        <a:xfrm flipV="1">
          <a:off x="23612475" y="21316950"/>
          <a:ext cx="4714875" cy="2228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161925</xdr:colOff>
      <xdr:row>29</xdr:row>
      <xdr:rowOff>76200</xdr:rowOff>
    </xdr:from>
    <xdr:to>
      <xdr:col>21</xdr:col>
      <xdr:colOff>28575</xdr:colOff>
      <xdr:row>41</xdr:row>
      <xdr:rowOff>9525</xdr:rowOff>
    </xdr:to>
    <xdr:sp>
      <xdr:nvSpPr>
        <xdr:cNvPr id="138" name="Line 138"/>
        <xdr:cNvSpPr>
          <a:spLocks/>
        </xdr:cNvSpPr>
      </xdr:nvSpPr>
      <xdr:spPr>
        <a:xfrm flipH="1" flipV="1">
          <a:off x="8848725" y="12020550"/>
          <a:ext cx="1181100" cy="5191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74</xdr:col>
      <xdr:colOff>371475</xdr:colOff>
      <xdr:row>8</xdr:row>
      <xdr:rowOff>123825</xdr:rowOff>
    </xdr:from>
    <xdr:to>
      <xdr:col>75</xdr:col>
      <xdr:colOff>200025</xdr:colOff>
      <xdr:row>11</xdr:row>
      <xdr:rowOff>285750</xdr:rowOff>
    </xdr:to>
    <xdr:sp>
      <xdr:nvSpPr>
        <xdr:cNvPr id="139" name="Line 139"/>
        <xdr:cNvSpPr>
          <a:spLocks/>
        </xdr:cNvSpPr>
      </xdr:nvSpPr>
      <xdr:spPr>
        <a:xfrm>
          <a:off x="33594675" y="2867025"/>
          <a:ext cx="266700" cy="1476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76</xdr:col>
      <xdr:colOff>285750</xdr:colOff>
      <xdr:row>21</xdr:row>
      <xdr:rowOff>161925</xdr:rowOff>
    </xdr:from>
    <xdr:to>
      <xdr:col>77</xdr:col>
      <xdr:colOff>19050</xdr:colOff>
      <xdr:row>24</xdr:row>
      <xdr:rowOff>133350</xdr:rowOff>
    </xdr:to>
    <xdr:sp>
      <xdr:nvSpPr>
        <xdr:cNvPr id="140" name="Line 140"/>
        <xdr:cNvSpPr>
          <a:spLocks/>
        </xdr:cNvSpPr>
      </xdr:nvSpPr>
      <xdr:spPr>
        <a:xfrm flipH="1" flipV="1">
          <a:off x="34385250" y="8601075"/>
          <a:ext cx="171450" cy="1285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228600</xdr:rowOff>
    </xdr:from>
    <xdr:to>
      <xdr:col>2</xdr:col>
      <xdr:colOff>85725</xdr:colOff>
      <xdr:row>34</xdr:row>
      <xdr:rowOff>238125</xdr:rowOff>
    </xdr:to>
    <xdr:sp>
      <xdr:nvSpPr>
        <xdr:cNvPr id="141" name="Line 141"/>
        <xdr:cNvSpPr>
          <a:spLocks/>
        </xdr:cNvSpPr>
      </xdr:nvSpPr>
      <xdr:spPr>
        <a:xfrm>
          <a:off x="1724025" y="12611100"/>
          <a:ext cx="47625" cy="1762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66</xdr:col>
      <xdr:colOff>209550</xdr:colOff>
      <xdr:row>25</xdr:row>
      <xdr:rowOff>161925</xdr:rowOff>
    </xdr:from>
    <xdr:to>
      <xdr:col>69</xdr:col>
      <xdr:colOff>361950</xdr:colOff>
      <xdr:row>26</xdr:row>
      <xdr:rowOff>409575</xdr:rowOff>
    </xdr:to>
    <xdr:sp>
      <xdr:nvSpPr>
        <xdr:cNvPr id="142" name="Line 142"/>
        <xdr:cNvSpPr>
          <a:spLocks/>
        </xdr:cNvSpPr>
      </xdr:nvSpPr>
      <xdr:spPr>
        <a:xfrm flipH="1" flipV="1">
          <a:off x="29927550" y="10353675"/>
          <a:ext cx="1466850" cy="685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28575</xdr:colOff>
      <xdr:row>23</xdr:row>
      <xdr:rowOff>152400</xdr:rowOff>
    </xdr:from>
    <xdr:to>
      <xdr:col>53</xdr:col>
      <xdr:colOff>266700</xdr:colOff>
      <xdr:row>24</xdr:row>
      <xdr:rowOff>161925</xdr:rowOff>
    </xdr:to>
    <xdr:sp>
      <xdr:nvSpPr>
        <xdr:cNvPr id="143" name="Line 143"/>
        <xdr:cNvSpPr>
          <a:spLocks/>
        </xdr:cNvSpPr>
      </xdr:nvSpPr>
      <xdr:spPr>
        <a:xfrm flipH="1" flipV="1">
          <a:off x="21421725" y="9467850"/>
          <a:ext cx="2867025" cy="447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32</xdr:col>
      <xdr:colOff>123825</xdr:colOff>
      <xdr:row>37</xdr:row>
      <xdr:rowOff>371475</xdr:rowOff>
    </xdr:from>
    <xdr:to>
      <xdr:col>32</xdr:col>
      <xdr:colOff>333375</xdr:colOff>
      <xdr:row>40</xdr:row>
      <xdr:rowOff>114300</xdr:rowOff>
    </xdr:to>
    <xdr:sp>
      <xdr:nvSpPr>
        <xdr:cNvPr id="144" name="Line 144"/>
        <xdr:cNvSpPr>
          <a:spLocks/>
        </xdr:cNvSpPr>
      </xdr:nvSpPr>
      <xdr:spPr>
        <a:xfrm>
          <a:off x="14944725" y="15821025"/>
          <a:ext cx="209550" cy="1057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28575</xdr:colOff>
      <xdr:row>42</xdr:row>
      <xdr:rowOff>76200</xdr:rowOff>
    </xdr:from>
    <xdr:to>
      <xdr:col>69</xdr:col>
      <xdr:colOff>247650</xdr:colOff>
      <xdr:row>42</xdr:row>
      <xdr:rowOff>323850</xdr:rowOff>
    </xdr:to>
    <xdr:sp>
      <xdr:nvSpPr>
        <xdr:cNvPr id="1" name="Oval 1"/>
        <xdr:cNvSpPr>
          <a:spLocks/>
        </xdr:cNvSpPr>
      </xdr:nvSpPr>
      <xdr:spPr>
        <a:xfrm>
          <a:off x="31061025" y="17716500"/>
          <a:ext cx="219075" cy="247650"/>
        </a:xfrm>
        <a:prstGeom prst="ellipse">
          <a:avLst/>
        </a:prstGeom>
        <a:solidFill>
          <a:srgbClr val="FFCC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69</xdr:col>
      <xdr:colOff>161925</xdr:colOff>
      <xdr:row>42</xdr:row>
      <xdr:rowOff>247650</xdr:rowOff>
    </xdr:from>
    <xdr:ext cx="438150" cy="438150"/>
    <xdr:sp>
      <xdr:nvSpPr>
        <xdr:cNvPr id="2" name="TextBox 2"/>
        <xdr:cNvSpPr txBox="1">
          <a:spLocks noChangeArrowheads="1"/>
        </xdr:cNvSpPr>
      </xdr:nvSpPr>
      <xdr:spPr>
        <a:xfrm>
          <a:off x="31194375" y="178879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</a:t>
          </a:r>
        </a:p>
      </xdr:txBody>
    </xdr:sp>
    <xdr:clientData/>
  </xdr:oneCellAnchor>
  <xdr:twoCellAnchor>
    <xdr:from>
      <xdr:col>24</xdr:col>
      <xdr:colOff>28575</xdr:colOff>
      <xdr:row>56</xdr:row>
      <xdr:rowOff>266700</xdr:rowOff>
    </xdr:from>
    <xdr:to>
      <xdr:col>24</xdr:col>
      <xdr:colOff>247650</xdr:colOff>
      <xdr:row>57</xdr:row>
      <xdr:rowOff>76200</xdr:rowOff>
    </xdr:to>
    <xdr:sp>
      <xdr:nvSpPr>
        <xdr:cNvPr id="3" name="Oval 3"/>
        <xdr:cNvSpPr>
          <a:spLocks/>
        </xdr:cNvSpPr>
      </xdr:nvSpPr>
      <xdr:spPr>
        <a:xfrm>
          <a:off x="11344275" y="240411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24</xdr:col>
      <xdr:colOff>161925</xdr:colOff>
      <xdr:row>57</xdr:row>
      <xdr:rowOff>0</xdr:rowOff>
    </xdr:from>
    <xdr:ext cx="438150" cy="438150"/>
    <xdr:sp>
      <xdr:nvSpPr>
        <xdr:cNvPr id="4" name="TextBox 4"/>
        <xdr:cNvSpPr txBox="1">
          <a:spLocks noChangeArrowheads="1"/>
        </xdr:cNvSpPr>
      </xdr:nvSpPr>
      <xdr:spPr>
        <a:xfrm>
          <a:off x="11477625" y="242125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</a:t>
          </a:r>
        </a:p>
      </xdr:txBody>
    </xdr:sp>
    <xdr:clientData/>
  </xdr:oneCellAnchor>
  <xdr:twoCellAnchor>
    <xdr:from>
      <xdr:col>57</xdr:col>
      <xdr:colOff>19050</xdr:colOff>
      <xdr:row>42</xdr:row>
      <xdr:rowOff>200025</xdr:rowOff>
    </xdr:from>
    <xdr:to>
      <xdr:col>57</xdr:col>
      <xdr:colOff>238125</xdr:colOff>
      <xdr:row>43</xdr:row>
      <xdr:rowOff>9525</xdr:rowOff>
    </xdr:to>
    <xdr:sp>
      <xdr:nvSpPr>
        <xdr:cNvPr id="5" name="Oval 5"/>
        <xdr:cNvSpPr>
          <a:spLocks/>
        </xdr:cNvSpPr>
      </xdr:nvSpPr>
      <xdr:spPr>
        <a:xfrm>
          <a:off x="25793700" y="178403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57</xdr:col>
      <xdr:colOff>161925</xdr:colOff>
      <xdr:row>42</xdr:row>
      <xdr:rowOff>371475</xdr:rowOff>
    </xdr:from>
    <xdr:ext cx="438150" cy="438150"/>
    <xdr:sp>
      <xdr:nvSpPr>
        <xdr:cNvPr id="6" name="TextBox 6"/>
        <xdr:cNvSpPr txBox="1">
          <a:spLocks noChangeArrowheads="1"/>
        </xdr:cNvSpPr>
      </xdr:nvSpPr>
      <xdr:spPr>
        <a:xfrm>
          <a:off x="25936575" y="18011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</a:t>
          </a:r>
        </a:p>
      </xdr:txBody>
    </xdr:sp>
    <xdr:clientData/>
  </xdr:oneCellAnchor>
  <xdr:twoCellAnchor>
    <xdr:from>
      <xdr:col>5</xdr:col>
      <xdr:colOff>333375</xdr:colOff>
      <xdr:row>48</xdr:row>
      <xdr:rowOff>123825</xdr:rowOff>
    </xdr:from>
    <xdr:to>
      <xdr:col>6</xdr:col>
      <xdr:colOff>114300</xdr:colOff>
      <xdr:row>48</xdr:row>
      <xdr:rowOff>371475</xdr:rowOff>
    </xdr:to>
    <xdr:sp>
      <xdr:nvSpPr>
        <xdr:cNvPr id="7" name="Oval 7"/>
        <xdr:cNvSpPr>
          <a:spLocks/>
        </xdr:cNvSpPr>
      </xdr:nvSpPr>
      <xdr:spPr>
        <a:xfrm>
          <a:off x="3324225" y="203930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57150</xdr:colOff>
      <xdr:row>48</xdr:row>
      <xdr:rowOff>247650</xdr:rowOff>
    </xdr:from>
    <xdr:ext cx="438150" cy="438150"/>
    <xdr:sp>
      <xdr:nvSpPr>
        <xdr:cNvPr id="8" name="TextBox 8"/>
        <xdr:cNvSpPr txBox="1">
          <a:spLocks noChangeArrowheads="1"/>
        </xdr:cNvSpPr>
      </xdr:nvSpPr>
      <xdr:spPr>
        <a:xfrm>
          <a:off x="3486150" y="205168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</a:t>
          </a:r>
        </a:p>
      </xdr:txBody>
    </xdr:sp>
    <xdr:clientData/>
  </xdr:oneCellAnchor>
  <xdr:twoCellAnchor>
    <xdr:from>
      <xdr:col>32</xdr:col>
      <xdr:colOff>238125</xdr:colOff>
      <xdr:row>40</xdr:row>
      <xdr:rowOff>114300</xdr:rowOff>
    </xdr:from>
    <xdr:to>
      <xdr:col>33</xdr:col>
      <xdr:colOff>19050</xdr:colOff>
      <xdr:row>40</xdr:row>
      <xdr:rowOff>361950</xdr:rowOff>
    </xdr:to>
    <xdr:sp>
      <xdr:nvSpPr>
        <xdr:cNvPr id="9" name="Oval 9"/>
        <xdr:cNvSpPr>
          <a:spLocks/>
        </xdr:cNvSpPr>
      </xdr:nvSpPr>
      <xdr:spPr>
        <a:xfrm>
          <a:off x="15059025" y="168783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32</xdr:col>
      <xdr:colOff>381000</xdr:colOff>
      <xdr:row>40</xdr:row>
      <xdr:rowOff>247650</xdr:rowOff>
    </xdr:from>
    <xdr:ext cx="438150" cy="438150"/>
    <xdr:sp>
      <xdr:nvSpPr>
        <xdr:cNvPr id="10" name="TextBox 10"/>
        <xdr:cNvSpPr txBox="1">
          <a:spLocks noChangeArrowheads="1"/>
        </xdr:cNvSpPr>
      </xdr:nvSpPr>
      <xdr:spPr>
        <a:xfrm>
          <a:off x="15201900" y="170116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x5</a:t>
          </a:r>
        </a:p>
      </xdr:txBody>
    </xdr:sp>
    <xdr:clientData/>
  </xdr:oneCellAnchor>
  <xdr:twoCellAnchor>
    <xdr:from>
      <xdr:col>77</xdr:col>
      <xdr:colOff>361950</xdr:colOff>
      <xdr:row>12</xdr:row>
      <xdr:rowOff>47625</xdr:rowOff>
    </xdr:from>
    <xdr:to>
      <xdr:col>78</xdr:col>
      <xdr:colOff>142875</xdr:colOff>
      <xdr:row>12</xdr:row>
      <xdr:rowOff>304800</xdr:rowOff>
    </xdr:to>
    <xdr:sp>
      <xdr:nvSpPr>
        <xdr:cNvPr id="11" name="Oval 11"/>
        <xdr:cNvSpPr>
          <a:spLocks/>
        </xdr:cNvSpPr>
      </xdr:nvSpPr>
      <xdr:spPr>
        <a:xfrm>
          <a:off x="34899600" y="45434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78</xdr:col>
      <xdr:colOff>57150</xdr:colOff>
      <xdr:row>12</xdr:row>
      <xdr:rowOff>247650</xdr:rowOff>
    </xdr:from>
    <xdr:ext cx="438150" cy="438150"/>
    <xdr:sp>
      <xdr:nvSpPr>
        <xdr:cNvPr id="12" name="TextBox 12"/>
        <xdr:cNvSpPr txBox="1">
          <a:spLocks noChangeArrowheads="1"/>
        </xdr:cNvSpPr>
      </xdr:nvSpPr>
      <xdr:spPr>
        <a:xfrm>
          <a:off x="35032950" y="47434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x6</a:t>
          </a:r>
        </a:p>
      </xdr:txBody>
    </xdr:sp>
    <xdr:clientData/>
  </xdr:oneCellAnchor>
  <xdr:twoCellAnchor>
    <xdr:from>
      <xdr:col>77</xdr:col>
      <xdr:colOff>209550</xdr:colOff>
      <xdr:row>19</xdr:row>
      <xdr:rowOff>238125</xdr:rowOff>
    </xdr:from>
    <xdr:to>
      <xdr:col>77</xdr:col>
      <xdr:colOff>428625</xdr:colOff>
      <xdr:row>20</xdr:row>
      <xdr:rowOff>47625</xdr:rowOff>
    </xdr:to>
    <xdr:sp>
      <xdr:nvSpPr>
        <xdr:cNvPr id="13" name="Oval 13"/>
        <xdr:cNvSpPr>
          <a:spLocks/>
        </xdr:cNvSpPr>
      </xdr:nvSpPr>
      <xdr:spPr>
        <a:xfrm>
          <a:off x="34747200" y="78009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333375</xdr:colOff>
      <xdr:row>19</xdr:row>
      <xdr:rowOff>371475</xdr:rowOff>
    </xdr:from>
    <xdr:ext cx="438150" cy="438150"/>
    <xdr:sp>
      <xdr:nvSpPr>
        <xdr:cNvPr id="14" name="TextBox 14"/>
        <xdr:cNvSpPr txBox="1">
          <a:spLocks noChangeArrowheads="1"/>
        </xdr:cNvSpPr>
      </xdr:nvSpPr>
      <xdr:spPr>
        <a:xfrm>
          <a:off x="34871025" y="793432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x7</a:t>
          </a:r>
        </a:p>
      </xdr:txBody>
    </xdr:sp>
    <xdr:clientData/>
  </xdr:oneCellAnchor>
  <xdr:twoCellAnchor>
    <xdr:from>
      <xdr:col>74</xdr:col>
      <xdr:colOff>171450</xdr:colOff>
      <xdr:row>44</xdr:row>
      <xdr:rowOff>9525</xdr:rowOff>
    </xdr:from>
    <xdr:to>
      <xdr:col>74</xdr:col>
      <xdr:colOff>390525</xdr:colOff>
      <xdr:row>44</xdr:row>
      <xdr:rowOff>257175</xdr:rowOff>
    </xdr:to>
    <xdr:sp>
      <xdr:nvSpPr>
        <xdr:cNvPr id="15" name="Oval 15"/>
        <xdr:cNvSpPr>
          <a:spLocks/>
        </xdr:cNvSpPr>
      </xdr:nvSpPr>
      <xdr:spPr>
        <a:xfrm>
          <a:off x="33394650" y="185261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74</xdr:col>
      <xdr:colOff>333375</xdr:colOff>
      <xdr:row>44</xdr:row>
      <xdr:rowOff>190500</xdr:rowOff>
    </xdr:from>
    <xdr:ext cx="438150" cy="438150"/>
    <xdr:sp>
      <xdr:nvSpPr>
        <xdr:cNvPr id="16" name="TextBox 16"/>
        <xdr:cNvSpPr txBox="1">
          <a:spLocks noChangeArrowheads="1"/>
        </xdr:cNvSpPr>
      </xdr:nvSpPr>
      <xdr:spPr>
        <a:xfrm>
          <a:off x="33556575" y="1870710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x8</a:t>
          </a:r>
        </a:p>
      </xdr:txBody>
    </xdr:sp>
    <xdr:clientData/>
  </xdr:oneCellAnchor>
  <xdr:twoCellAnchor>
    <xdr:from>
      <xdr:col>70</xdr:col>
      <xdr:colOff>314325</xdr:colOff>
      <xdr:row>37</xdr:row>
      <xdr:rowOff>371475</xdr:rowOff>
    </xdr:from>
    <xdr:to>
      <xdr:col>71</xdr:col>
      <xdr:colOff>95250</xdr:colOff>
      <xdr:row>38</xdr:row>
      <xdr:rowOff>190500</xdr:rowOff>
    </xdr:to>
    <xdr:sp>
      <xdr:nvSpPr>
        <xdr:cNvPr id="17" name="Oval 17"/>
        <xdr:cNvSpPr>
          <a:spLocks/>
        </xdr:cNvSpPr>
      </xdr:nvSpPr>
      <xdr:spPr>
        <a:xfrm>
          <a:off x="31784925" y="1582102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71</xdr:col>
      <xdr:colOff>57150</xdr:colOff>
      <xdr:row>38</xdr:row>
      <xdr:rowOff>66675</xdr:rowOff>
    </xdr:from>
    <xdr:ext cx="438150" cy="438150"/>
    <xdr:sp>
      <xdr:nvSpPr>
        <xdr:cNvPr id="18" name="TextBox 18"/>
        <xdr:cNvSpPr txBox="1">
          <a:spLocks noChangeArrowheads="1"/>
        </xdr:cNvSpPr>
      </xdr:nvSpPr>
      <xdr:spPr>
        <a:xfrm>
          <a:off x="31965900" y="159543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x9</a:t>
          </a:r>
        </a:p>
      </xdr:txBody>
    </xdr:sp>
    <xdr:clientData/>
  </xdr:oneCellAnchor>
  <xdr:twoCellAnchor>
    <xdr:from>
      <xdr:col>12</xdr:col>
      <xdr:colOff>371475</xdr:colOff>
      <xdr:row>36</xdr:row>
      <xdr:rowOff>85725</xdr:rowOff>
    </xdr:from>
    <xdr:to>
      <xdr:col>13</xdr:col>
      <xdr:colOff>152400</xdr:colOff>
      <xdr:row>36</xdr:row>
      <xdr:rowOff>333375</xdr:rowOff>
    </xdr:to>
    <xdr:sp>
      <xdr:nvSpPr>
        <xdr:cNvPr id="19" name="Oval 19"/>
        <xdr:cNvSpPr>
          <a:spLocks/>
        </xdr:cNvSpPr>
      </xdr:nvSpPr>
      <xdr:spPr>
        <a:xfrm>
          <a:off x="6429375" y="150971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13</xdr:col>
      <xdr:colOff>57150</xdr:colOff>
      <xdr:row>36</xdr:row>
      <xdr:rowOff>247650</xdr:rowOff>
    </xdr:from>
    <xdr:ext cx="495300" cy="438150"/>
    <xdr:sp>
      <xdr:nvSpPr>
        <xdr:cNvPr id="20" name="TextBox 20"/>
        <xdr:cNvSpPr txBox="1">
          <a:spLocks noChangeArrowheads="1"/>
        </xdr:cNvSpPr>
      </xdr:nvSpPr>
      <xdr:spPr>
        <a:xfrm>
          <a:off x="6553200" y="152590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x10</a:t>
          </a:r>
        </a:p>
      </xdr:txBody>
    </xdr:sp>
    <xdr:clientData/>
  </xdr:oneCellAnchor>
  <xdr:twoCellAnchor>
    <xdr:from>
      <xdr:col>56</xdr:col>
      <xdr:colOff>190500</xdr:colOff>
      <xdr:row>30</xdr:row>
      <xdr:rowOff>276225</xdr:rowOff>
    </xdr:from>
    <xdr:to>
      <xdr:col>56</xdr:col>
      <xdr:colOff>409575</xdr:colOff>
      <xdr:row>31</xdr:row>
      <xdr:rowOff>85725</xdr:rowOff>
    </xdr:to>
    <xdr:sp>
      <xdr:nvSpPr>
        <xdr:cNvPr id="21" name="Oval 21"/>
        <xdr:cNvSpPr>
          <a:spLocks/>
        </xdr:cNvSpPr>
      </xdr:nvSpPr>
      <xdr:spPr>
        <a:xfrm>
          <a:off x="25527000" y="126587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56</xdr:col>
      <xdr:colOff>333375</xdr:colOff>
      <xdr:row>31</xdr:row>
      <xdr:rowOff>0</xdr:rowOff>
    </xdr:from>
    <xdr:ext cx="485775" cy="438150"/>
    <xdr:sp>
      <xdr:nvSpPr>
        <xdr:cNvPr id="22" name="TextBox 22"/>
        <xdr:cNvSpPr txBox="1">
          <a:spLocks noChangeArrowheads="1"/>
        </xdr:cNvSpPr>
      </xdr:nvSpPr>
      <xdr:spPr>
        <a:xfrm>
          <a:off x="25669875" y="1282065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x11</a:t>
          </a:r>
        </a:p>
      </xdr:txBody>
    </xdr:sp>
    <xdr:clientData/>
  </xdr:oneCellAnchor>
  <xdr:twoCellAnchor>
    <xdr:from>
      <xdr:col>61</xdr:col>
      <xdr:colOff>276225</xdr:colOff>
      <xdr:row>27</xdr:row>
      <xdr:rowOff>428625</xdr:rowOff>
    </xdr:from>
    <xdr:to>
      <xdr:col>62</xdr:col>
      <xdr:colOff>57150</xdr:colOff>
      <xdr:row>28</xdr:row>
      <xdr:rowOff>238125</xdr:rowOff>
    </xdr:to>
    <xdr:sp>
      <xdr:nvSpPr>
        <xdr:cNvPr id="23" name="Oval 23"/>
        <xdr:cNvSpPr>
          <a:spLocks/>
        </xdr:cNvSpPr>
      </xdr:nvSpPr>
      <xdr:spPr>
        <a:xfrm>
          <a:off x="27803475" y="114966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62</xdr:col>
      <xdr:colOff>0</xdr:colOff>
      <xdr:row>28</xdr:row>
      <xdr:rowOff>123825</xdr:rowOff>
    </xdr:from>
    <xdr:ext cx="495300" cy="438150"/>
    <xdr:sp>
      <xdr:nvSpPr>
        <xdr:cNvPr id="24" name="TextBox 24"/>
        <xdr:cNvSpPr txBox="1">
          <a:spLocks noChangeArrowheads="1"/>
        </xdr:cNvSpPr>
      </xdr:nvSpPr>
      <xdr:spPr>
        <a:xfrm>
          <a:off x="27965400" y="116300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x12</a:t>
          </a:r>
        </a:p>
      </xdr:txBody>
    </xdr:sp>
    <xdr:clientData/>
  </xdr:oneCellAnchor>
  <xdr:twoCellAnchor>
    <xdr:from>
      <xdr:col>48</xdr:col>
      <xdr:colOff>352425</xdr:colOff>
      <xdr:row>29</xdr:row>
      <xdr:rowOff>428625</xdr:rowOff>
    </xdr:from>
    <xdr:to>
      <xdr:col>49</xdr:col>
      <xdr:colOff>133350</xdr:colOff>
      <xdr:row>30</xdr:row>
      <xdr:rowOff>238125</xdr:rowOff>
    </xdr:to>
    <xdr:sp>
      <xdr:nvSpPr>
        <xdr:cNvPr id="25" name="Oval 25"/>
        <xdr:cNvSpPr>
          <a:spLocks/>
        </xdr:cNvSpPr>
      </xdr:nvSpPr>
      <xdr:spPr>
        <a:xfrm>
          <a:off x="22183725" y="123729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49</xdr:col>
      <xdr:colOff>57150</xdr:colOff>
      <xdr:row>30</xdr:row>
      <xdr:rowOff>123825</xdr:rowOff>
    </xdr:from>
    <xdr:ext cx="495300" cy="438150"/>
    <xdr:sp>
      <xdr:nvSpPr>
        <xdr:cNvPr id="26" name="TextBox 26"/>
        <xdr:cNvSpPr txBox="1">
          <a:spLocks noChangeArrowheads="1"/>
        </xdr:cNvSpPr>
      </xdr:nvSpPr>
      <xdr:spPr>
        <a:xfrm>
          <a:off x="22326600" y="125063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x13</a:t>
          </a:r>
        </a:p>
      </xdr:txBody>
    </xdr:sp>
    <xdr:clientData/>
  </xdr:oneCellAnchor>
  <xdr:twoCellAnchor>
    <xdr:from>
      <xdr:col>47</xdr:col>
      <xdr:colOff>371475</xdr:colOff>
      <xdr:row>36</xdr:row>
      <xdr:rowOff>152400</xdr:rowOff>
    </xdr:from>
    <xdr:to>
      <xdr:col>48</xdr:col>
      <xdr:colOff>152400</xdr:colOff>
      <xdr:row>36</xdr:row>
      <xdr:rowOff>400050</xdr:rowOff>
    </xdr:to>
    <xdr:sp>
      <xdr:nvSpPr>
        <xdr:cNvPr id="27" name="Oval 27"/>
        <xdr:cNvSpPr>
          <a:spLocks/>
        </xdr:cNvSpPr>
      </xdr:nvSpPr>
      <xdr:spPr>
        <a:xfrm>
          <a:off x="21764625" y="151638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48</xdr:col>
      <xdr:colOff>57150</xdr:colOff>
      <xdr:row>36</xdr:row>
      <xdr:rowOff>314325</xdr:rowOff>
    </xdr:from>
    <xdr:ext cx="495300" cy="438150"/>
    <xdr:sp>
      <xdr:nvSpPr>
        <xdr:cNvPr id="28" name="TextBox 28"/>
        <xdr:cNvSpPr txBox="1">
          <a:spLocks noChangeArrowheads="1"/>
        </xdr:cNvSpPr>
      </xdr:nvSpPr>
      <xdr:spPr>
        <a:xfrm>
          <a:off x="21888450" y="153257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x14</a:t>
          </a:r>
        </a:p>
      </xdr:txBody>
    </xdr:sp>
    <xdr:clientData/>
  </xdr:oneCellAnchor>
  <xdr:twoCellAnchor>
    <xdr:from>
      <xdr:col>65</xdr:col>
      <xdr:colOff>85725</xdr:colOff>
      <xdr:row>29</xdr:row>
      <xdr:rowOff>371475</xdr:rowOff>
    </xdr:from>
    <xdr:to>
      <xdr:col>65</xdr:col>
      <xdr:colOff>304800</xdr:colOff>
      <xdr:row>30</xdr:row>
      <xdr:rowOff>190500</xdr:rowOff>
    </xdr:to>
    <xdr:sp>
      <xdr:nvSpPr>
        <xdr:cNvPr id="29" name="Oval 29"/>
        <xdr:cNvSpPr>
          <a:spLocks/>
        </xdr:cNvSpPr>
      </xdr:nvSpPr>
      <xdr:spPr>
        <a:xfrm>
          <a:off x="29365575" y="1231582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65</xdr:col>
      <xdr:colOff>219075</xdr:colOff>
      <xdr:row>30</xdr:row>
      <xdr:rowOff>66675</xdr:rowOff>
    </xdr:from>
    <xdr:ext cx="495300" cy="438150"/>
    <xdr:sp>
      <xdr:nvSpPr>
        <xdr:cNvPr id="30" name="TextBox 30"/>
        <xdr:cNvSpPr txBox="1">
          <a:spLocks noChangeArrowheads="1"/>
        </xdr:cNvSpPr>
      </xdr:nvSpPr>
      <xdr:spPr>
        <a:xfrm>
          <a:off x="29498925" y="124491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x15</a:t>
          </a:r>
        </a:p>
      </xdr:txBody>
    </xdr:sp>
    <xdr:clientData/>
  </xdr:oneCellAnchor>
  <xdr:twoCellAnchor>
    <xdr:from>
      <xdr:col>62</xdr:col>
      <xdr:colOff>352425</xdr:colOff>
      <xdr:row>50</xdr:row>
      <xdr:rowOff>0</xdr:rowOff>
    </xdr:from>
    <xdr:to>
      <xdr:col>63</xdr:col>
      <xdr:colOff>133350</xdr:colOff>
      <xdr:row>50</xdr:row>
      <xdr:rowOff>247650</xdr:rowOff>
    </xdr:to>
    <xdr:sp>
      <xdr:nvSpPr>
        <xdr:cNvPr id="31" name="Oval 31"/>
        <xdr:cNvSpPr>
          <a:spLocks/>
        </xdr:cNvSpPr>
      </xdr:nvSpPr>
      <xdr:spPr>
        <a:xfrm>
          <a:off x="28317825" y="211455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63</xdr:col>
      <xdr:colOff>57150</xdr:colOff>
      <xdr:row>50</xdr:row>
      <xdr:rowOff>190500</xdr:rowOff>
    </xdr:from>
    <xdr:ext cx="495300" cy="438150"/>
    <xdr:sp>
      <xdr:nvSpPr>
        <xdr:cNvPr id="32" name="TextBox 32"/>
        <xdr:cNvSpPr txBox="1">
          <a:spLocks noChangeArrowheads="1"/>
        </xdr:cNvSpPr>
      </xdr:nvSpPr>
      <xdr:spPr>
        <a:xfrm>
          <a:off x="28460700" y="2133600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x16</a:t>
          </a:r>
        </a:p>
      </xdr:txBody>
    </xdr:sp>
    <xdr:clientData/>
  </xdr:oneCellAnchor>
  <xdr:twoCellAnchor>
    <xdr:from>
      <xdr:col>77</xdr:col>
      <xdr:colOff>371475</xdr:colOff>
      <xdr:row>4</xdr:row>
      <xdr:rowOff>371475</xdr:rowOff>
    </xdr:from>
    <xdr:to>
      <xdr:col>78</xdr:col>
      <xdr:colOff>152400</xdr:colOff>
      <xdr:row>5</xdr:row>
      <xdr:rowOff>190500</xdr:rowOff>
    </xdr:to>
    <xdr:sp>
      <xdr:nvSpPr>
        <xdr:cNvPr id="33" name="Oval 33"/>
        <xdr:cNvSpPr>
          <a:spLocks/>
        </xdr:cNvSpPr>
      </xdr:nvSpPr>
      <xdr:spPr>
        <a:xfrm>
          <a:off x="34909125" y="136207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78</xdr:col>
      <xdr:colOff>57150</xdr:colOff>
      <xdr:row>5</xdr:row>
      <xdr:rowOff>66675</xdr:rowOff>
    </xdr:from>
    <xdr:ext cx="495300" cy="438150"/>
    <xdr:sp>
      <xdr:nvSpPr>
        <xdr:cNvPr id="34" name="TextBox 34"/>
        <xdr:cNvSpPr txBox="1">
          <a:spLocks noChangeArrowheads="1"/>
        </xdr:cNvSpPr>
      </xdr:nvSpPr>
      <xdr:spPr>
        <a:xfrm>
          <a:off x="35032950" y="14954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x17</a:t>
          </a:r>
        </a:p>
      </xdr:txBody>
    </xdr:sp>
    <xdr:clientData/>
  </xdr:oneCellAnchor>
  <xdr:twoCellAnchor>
    <xdr:from>
      <xdr:col>76</xdr:col>
      <xdr:colOff>152400</xdr:colOff>
      <xdr:row>20</xdr:row>
      <xdr:rowOff>352425</xdr:rowOff>
    </xdr:from>
    <xdr:to>
      <xdr:col>76</xdr:col>
      <xdr:colOff>371475</xdr:colOff>
      <xdr:row>21</xdr:row>
      <xdr:rowOff>161925</xdr:rowOff>
    </xdr:to>
    <xdr:sp>
      <xdr:nvSpPr>
        <xdr:cNvPr id="35" name="Oval 35"/>
        <xdr:cNvSpPr>
          <a:spLocks/>
        </xdr:cNvSpPr>
      </xdr:nvSpPr>
      <xdr:spPr>
        <a:xfrm>
          <a:off x="34251900" y="83534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76</xdr:col>
      <xdr:colOff>333375</xdr:colOff>
      <xdr:row>21</xdr:row>
      <xdr:rowOff>66675</xdr:rowOff>
    </xdr:from>
    <xdr:ext cx="485775" cy="438150"/>
    <xdr:sp>
      <xdr:nvSpPr>
        <xdr:cNvPr id="36" name="TextBox 36"/>
        <xdr:cNvSpPr txBox="1">
          <a:spLocks noChangeArrowheads="1"/>
        </xdr:cNvSpPr>
      </xdr:nvSpPr>
      <xdr:spPr>
        <a:xfrm>
          <a:off x="34432875" y="8505825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x18</a:t>
          </a:r>
        </a:p>
      </xdr:txBody>
    </xdr:sp>
    <xdr:clientData/>
  </xdr:oneCellAnchor>
  <xdr:twoCellAnchor>
    <xdr:from>
      <xdr:col>79</xdr:col>
      <xdr:colOff>19050</xdr:colOff>
      <xdr:row>9</xdr:row>
      <xdr:rowOff>200025</xdr:rowOff>
    </xdr:from>
    <xdr:to>
      <xdr:col>79</xdr:col>
      <xdr:colOff>238125</xdr:colOff>
      <xdr:row>10</xdr:row>
      <xdr:rowOff>9525</xdr:rowOff>
    </xdr:to>
    <xdr:sp>
      <xdr:nvSpPr>
        <xdr:cNvPr id="37" name="Oval 37"/>
        <xdr:cNvSpPr>
          <a:spLocks/>
        </xdr:cNvSpPr>
      </xdr:nvSpPr>
      <xdr:spPr>
        <a:xfrm>
          <a:off x="35433000" y="33813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79</xdr:col>
      <xdr:colOff>161925</xdr:colOff>
      <xdr:row>9</xdr:row>
      <xdr:rowOff>371475</xdr:rowOff>
    </xdr:from>
    <xdr:ext cx="495300" cy="438150"/>
    <xdr:sp>
      <xdr:nvSpPr>
        <xdr:cNvPr id="38" name="TextBox 38"/>
        <xdr:cNvSpPr txBox="1">
          <a:spLocks noChangeArrowheads="1"/>
        </xdr:cNvSpPr>
      </xdr:nvSpPr>
      <xdr:spPr>
        <a:xfrm>
          <a:off x="35575875" y="35528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x19</a:t>
          </a:r>
        </a:p>
      </xdr:txBody>
    </xdr:sp>
    <xdr:clientData/>
  </xdr:oneCellAnchor>
  <xdr:twoCellAnchor>
    <xdr:from>
      <xdr:col>60</xdr:col>
      <xdr:colOff>333375</xdr:colOff>
      <xdr:row>21</xdr:row>
      <xdr:rowOff>38100</xdr:rowOff>
    </xdr:from>
    <xdr:to>
      <xdr:col>61</xdr:col>
      <xdr:colOff>114300</xdr:colOff>
      <xdr:row>21</xdr:row>
      <xdr:rowOff>285750</xdr:rowOff>
    </xdr:to>
    <xdr:sp>
      <xdr:nvSpPr>
        <xdr:cNvPr id="39" name="Oval 39"/>
        <xdr:cNvSpPr>
          <a:spLocks/>
        </xdr:cNvSpPr>
      </xdr:nvSpPr>
      <xdr:spPr>
        <a:xfrm>
          <a:off x="27422475" y="84772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61</xdr:col>
      <xdr:colOff>57150</xdr:colOff>
      <xdr:row>21</xdr:row>
      <xdr:rowOff>190500</xdr:rowOff>
    </xdr:from>
    <xdr:ext cx="495300" cy="438150"/>
    <xdr:sp>
      <xdr:nvSpPr>
        <xdr:cNvPr id="40" name="TextBox 40"/>
        <xdr:cNvSpPr txBox="1">
          <a:spLocks noChangeArrowheads="1"/>
        </xdr:cNvSpPr>
      </xdr:nvSpPr>
      <xdr:spPr>
        <a:xfrm>
          <a:off x="27584400" y="86296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x20</a:t>
          </a:r>
        </a:p>
      </xdr:txBody>
    </xdr:sp>
    <xdr:clientData/>
  </xdr:oneCellAnchor>
  <xdr:twoCellAnchor>
    <xdr:from>
      <xdr:col>46</xdr:col>
      <xdr:colOff>247650</xdr:colOff>
      <xdr:row>23</xdr:row>
      <xdr:rowOff>0</xdr:rowOff>
    </xdr:from>
    <xdr:to>
      <xdr:col>47</xdr:col>
      <xdr:colOff>28575</xdr:colOff>
      <xdr:row>23</xdr:row>
      <xdr:rowOff>247650</xdr:rowOff>
    </xdr:to>
    <xdr:sp>
      <xdr:nvSpPr>
        <xdr:cNvPr id="41" name="Oval 41"/>
        <xdr:cNvSpPr>
          <a:spLocks/>
        </xdr:cNvSpPr>
      </xdr:nvSpPr>
      <xdr:spPr>
        <a:xfrm>
          <a:off x="21202650" y="93154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46</xdr:col>
      <xdr:colOff>381000</xdr:colOff>
      <xdr:row>23</xdr:row>
      <xdr:rowOff>190500</xdr:rowOff>
    </xdr:from>
    <xdr:ext cx="495300" cy="438150"/>
    <xdr:sp>
      <xdr:nvSpPr>
        <xdr:cNvPr id="42" name="TextBox 42"/>
        <xdr:cNvSpPr txBox="1">
          <a:spLocks noChangeArrowheads="1"/>
        </xdr:cNvSpPr>
      </xdr:nvSpPr>
      <xdr:spPr>
        <a:xfrm>
          <a:off x="21336000" y="95059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x21</a:t>
          </a:r>
        </a:p>
      </xdr:txBody>
    </xdr:sp>
    <xdr:clientData/>
  </xdr:oneCellAnchor>
  <xdr:twoCellAnchor>
    <xdr:from>
      <xdr:col>62</xdr:col>
      <xdr:colOff>333375</xdr:colOff>
      <xdr:row>45</xdr:row>
      <xdr:rowOff>266700</xdr:rowOff>
    </xdr:from>
    <xdr:to>
      <xdr:col>63</xdr:col>
      <xdr:colOff>114300</xdr:colOff>
      <xdr:row>46</xdr:row>
      <xdr:rowOff>76200</xdr:rowOff>
    </xdr:to>
    <xdr:sp>
      <xdr:nvSpPr>
        <xdr:cNvPr id="43" name="Oval 43"/>
        <xdr:cNvSpPr>
          <a:spLocks/>
        </xdr:cNvSpPr>
      </xdr:nvSpPr>
      <xdr:spPr>
        <a:xfrm>
          <a:off x="28298775" y="192214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63</xdr:col>
      <xdr:colOff>57150</xdr:colOff>
      <xdr:row>46</xdr:row>
      <xdr:rowOff>0</xdr:rowOff>
    </xdr:from>
    <xdr:ext cx="495300" cy="438150"/>
    <xdr:sp>
      <xdr:nvSpPr>
        <xdr:cNvPr id="44" name="TextBox 44"/>
        <xdr:cNvSpPr txBox="1">
          <a:spLocks noChangeArrowheads="1"/>
        </xdr:cNvSpPr>
      </xdr:nvSpPr>
      <xdr:spPr>
        <a:xfrm>
          <a:off x="28460700" y="1939290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x22</a:t>
          </a:r>
        </a:p>
      </xdr:txBody>
    </xdr:sp>
    <xdr:clientData/>
  </xdr:oneCellAnchor>
  <xdr:twoCellAnchor>
    <xdr:from>
      <xdr:col>53</xdr:col>
      <xdr:colOff>314325</xdr:colOff>
      <xdr:row>34</xdr:row>
      <xdr:rowOff>390525</xdr:rowOff>
    </xdr:from>
    <xdr:to>
      <xdr:col>54</xdr:col>
      <xdr:colOff>95250</xdr:colOff>
      <xdr:row>35</xdr:row>
      <xdr:rowOff>200025</xdr:rowOff>
    </xdr:to>
    <xdr:sp>
      <xdr:nvSpPr>
        <xdr:cNvPr id="45" name="Oval 45"/>
        <xdr:cNvSpPr>
          <a:spLocks/>
        </xdr:cNvSpPr>
      </xdr:nvSpPr>
      <xdr:spPr>
        <a:xfrm>
          <a:off x="24336375" y="145256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54</xdr:col>
      <xdr:colOff>57150</xdr:colOff>
      <xdr:row>35</xdr:row>
      <xdr:rowOff>123825</xdr:rowOff>
    </xdr:from>
    <xdr:ext cx="495300" cy="438150"/>
    <xdr:sp>
      <xdr:nvSpPr>
        <xdr:cNvPr id="46" name="TextBox 46"/>
        <xdr:cNvSpPr txBox="1">
          <a:spLocks noChangeArrowheads="1"/>
        </xdr:cNvSpPr>
      </xdr:nvSpPr>
      <xdr:spPr>
        <a:xfrm>
          <a:off x="24517350" y="146970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x23</a:t>
          </a:r>
        </a:p>
      </xdr:txBody>
    </xdr:sp>
    <xdr:clientData/>
  </xdr:oneCellAnchor>
  <xdr:twoCellAnchor>
    <xdr:from>
      <xdr:col>18</xdr:col>
      <xdr:colOff>28575</xdr:colOff>
      <xdr:row>28</xdr:row>
      <xdr:rowOff>266700</xdr:rowOff>
    </xdr:from>
    <xdr:to>
      <xdr:col>18</xdr:col>
      <xdr:colOff>247650</xdr:colOff>
      <xdr:row>29</xdr:row>
      <xdr:rowOff>76200</xdr:rowOff>
    </xdr:to>
    <xdr:sp>
      <xdr:nvSpPr>
        <xdr:cNvPr id="47" name="Oval 47"/>
        <xdr:cNvSpPr>
          <a:spLocks/>
        </xdr:cNvSpPr>
      </xdr:nvSpPr>
      <xdr:spPr>
        <a:xfrm>
          <a:off x="8715375" y="117729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18</xdr:col>
      <xdr:colOff>161925</xdr:colOff>
      <xdr:row>29</xdr:row>
      <xdr:rowOff>0</xdr:rowOff>
    </xdr:from>
    <xdr:ext cx="495300" cy="438150"/>
    <xdr:sp>
      <xdr:nvSpPr>
        <xdr:cNvPr id="48" name="TextBox 48"/>
        <xdr:cNvSpPr txBox="1">
          <a:spLocks noChangeArrowheads="1"/>
        </xdr:cNvSpPr>
      </xdr:nvSpPr>
      <xdr:spPr>
        <a:xfrm>
          <a:off x="8848725" y="119443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x24</a:t>
          </a:r>
        </a:p>
      </xdr:txBody>
    </xdr:sp>
    <xdr:clientData/>
  </xdr:oneCellAnchor>
  <xdr:twoCellAnchor>
    <xdr:from>
      <xdr:col>44</xdr:col>
      <xdr:colOff>352425</xdr:colOff>
      <xdr:row>33</xdr:row>
      <xdr:rowOff>209550</xdr:rowOff>
    </xdr:from>
    <xdr:to>
      <xdr:col>45</xdr:col>
      <xdr:colOff>133350</xdr:colOff>
      <xdr:row>34</xdr:row>
      <xdr:rowOff>28575</xdr:rowOff>
    </xdr:to>
    <xdr:sp>
      <xdr:nvSpPr>
        <xdr:cNvPr id="49" name="Oval 49"/>
        <xdr:cNvSpPr>
          <a:spLocks/>
        </xdr:cNvSpPr>
      </xdr:nvSpPr>
      <xdr:spPr>
        <a:xfrm>
          <a:off x="20431125" y="13906500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45</xdr:col>
      <xdr:colOff>57150</xdr:colOff>
      <xdr:row>33</xdr:row>
      <xdr:rowOff>371475</xdr:rowOff>
    </xdr:from>
    <xdr:ext cx="495300" cy="438150"/>
    <xdr:sp>
      <xdr:nvSpPr>
        <xdr:cNvPr id="50" name="TextBox 50"/>
        <xdr:cNvSpPr txBox="1">
          <a:spLocks noChangeArrowheads="1"/>
        </xdr:cNvSpPr>
      </xdr:nvSpPr>
      <xdr:spPr>
        <a:xfrm>
          <a:off x="20574000" y="140684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x25</a:t>
          </a:r>
        </a:p>
      </xdr:txBody>
    </xdr:sp>
    <xdr:clientData/>
  </xdr:oneCellAnchor>
  <xdr:twoCellAnchor>
    <xdr:from>
      <xdr:col>8</xdr:col>
      <xdr:colOff>219075</xdr:colOff>
      <xdr:row>46</xdr:row>
      <xdr:rowOff>276225</xdr:rowOff>
    </xdr:from>
    <xdr:to>
      <xdr:col>9</xdr:col>
      <xdr:colOff>0</xdr:colOff>
      <xdr:row>47</xdr:row>
      <xdr:rowOff>85725</xdr:rowOff>
    </xdr:to>
    <xdr:sp>
      <xdr:nvSpPr>
        <xdr:cNvPr id="51" name="Oval 51"/>
        <xdr:cNvSpPr>
          <a:spLocks/>
        </xdr:cNvSpPr>
      </xdr:nvSpPr>
      <xdr:spPr>
        <a:xfrm>
          <a:off x="4524375" y="196691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333375</xdr:colOff>
      <xdr:row>47</xdr:row>
      <xdr:rowOff>0</xdr:rowOff>
    </xdr:from>
    <xdr:ext cx="485775" cy="438150"/>
    <xdr:sp>
      <xdr:nvSpPr>
        <xdr:cNvPr id="52" name="TextBox 52"/>
        <xdr:cNvSpPr txBox="1">
          <a:spLocks noChangeArrowheads="1"/>
        </xdr:cNvSpPr>
      </xdr:nvSpPr>
      <xdr:spPr>
        <a:xfrm>
          <a:off x="4638675" y="1983105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x26</a:t>
          </a:r>
        </a:p>
      </xdr:txBody>
    </xdr:sp>
    <xdr:clientData/>
  </xdr:oneCellAnchor>
  <xdr:twoCellAnchor>
    <xdr:from>
      <xdr:col>77</xdr:col>
      <xdr:colOff>133350</xdr:colOff>
      <xdr:row>8</xdr:row>
      <xdr:rowOff>228600</xdr:rowOff>
    </xdr:from>
    <xdr:to>
      <xdr:col>77</xdr:col>
      <xdr:colOff>352425</xdr:colOff>
      <xdr:row>9</xdr:row>
      <xdr:rowOff>38100</xdr:rowOff>
    </xdr:to>
    <xdr:sp>
      <xdr:nvSpPr>
        <xdr:cNvPr id="53" name="Oval 53"/>
        <xdr:cNvSpPr>
          <a:spLocks/>
        </xdr:cNvSpPr>
      </xdr:nvSpPr>
      <xdr:spPr>
        <a:xfrm>
          <a:off x="34671000" y="29718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276225</xdr:colOff>
      <xdr:row>8</xdr:row>
      <xdr:rowOff>371475</xdr:rowOff>
    </xdr:from>
    <xdr:ext cx="495300" cy="438150"/>
    <xdr:sp>
      <xdr:nvSpPr>
        <xdr:cNvPr id="54" name="TextBox 54"/>
        <xdr:cNvSpPr txBox="1">
          <a:spLocks noChangeArrowheads="1"/>
        </xdr:cNvSpPr>
      </xdr:nvSpPr>
      <xdr:spPr>
        <a:xfrm>
          <a:off x="34813875" y="31146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x27</a:t>
          </a:r>
        </a:p>
      </xdr:txBody>
    </xdr:sp>
    <xdr:clientData/>
  </xdr:oneCellAnchor>
  <xdr:twoCellAnchor>
    <xdr:from>
      <xdr:col>77</xdr:col>
      <xdr:colOff>66675</xdr:colOff>
      <xdr:row>16</xdr:row>
      <xdr:rowOff>390525</xdr:rowOff>
    </xdr:from>
    <xdr:to>
      <xdr:col>77</xdr:col>
      <xdr:colOff>285750</xdr:colOff>
      <xdr:row>17</xdr:row>
      <xdr:rowOff>200025</xdr:rowOff>
    </xdr:to>
    <xdr:sp>
      <xdr:nvSpPr>
        <xdr:cNvPr id="55" name="Oval 55"/>
        <xdr:cNvSpPr>
          <a:spLocks/>
        </xdr:cNvSpPr>
      </xdr:nvSpPr>
      <xdr:spPr>
        <a:xfrm>
          <a:off x="34604325" y="6638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219075</xdr:colOff>
      <xdr:row>17</xdr:row>
      <xdr:rowOff>123825</xdr:rowOff>
    </xdr:from>
    <xdr:ext cx="495300" cy="438150"/>
    <xdr:sp>
      <xdr:nvSpPr>
        <xdr:cNvPr id="56" name="TextBox 56"/>
        <xdr:cNvSpPr txBox="1">
          <a:spLocks noChangeArrowheads="1"/>
        </xdr:cNvSpPr>
      </xdr:nvSpPr>
      <xdr:spPr>
        <a:xfrm>
          <a:off x="34756725" y="68103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x28</a:t>
          </a:r>
        </a:p>
      </xdr:txBody>
    </xdr:sp>
    <xdr:clientData/>
  </xdr:oneCellAnchor>
  <xdr:twoCellAnchor>
    <xdr:from>
      <xdr:col>33</xdr:col>
      <xdr:colOff>219075</xdr:colOff>
      <xdr:row>49</xdr:row>
      <xdr:rowOff>66675</xdr:rowOff>
    </xdr:from>
    <xdr:to>
      <xdr:col>34</xdr:col>
      <xdr:colOff>0</xdr:colOff>
      <xdr:row>49</xdr:row>
      <xdr:rowOff>314325</xdr:rowOff>
    </xdr:to>
    <xdr:sp>
      <xdr:nvSpPr>
        <xdr:cNvPr id="57" name="Oval 57"/>
        <xdr:cNvSpPr>
          <a:spLocks/>
        </xdr:cNvSpPr>
      </xdr:nvSpPr>
      <xdr:spPr>
        <a:xfrm>
          <a:off x="15478125" y="207740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33</xdr:col>
      <xdr:colOff>333375</xdr:colOff>
      <xdr:row>49</xdr:row>
      <xdr:rowOff>247650</xdr:rowOff>
    </xdr:from>
    <xdr:ext cx="485775" cy="438150"/>
    <xdr:sp>
      <xdr:nvSpPr>
        <xdr:cNvPr id="58" name="TextBox 58"/>
        <xdr:cNvSpPr txBox="1">
          <a:spLocks noChangeArrowheads="1"/>
        </xdr:cNvSpPr>
      </xdr:nvSpPr>
      <xdr:spPr>
        <a:xfrm>
          <a:off x="15592425" y="2095500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x29</a:t>
          </a:r>
        </a:p>
      </xdr:txBody>
    </xdr:sp>
    <xdr:clientData/>
  </xdr:oneCellAnchor>
  <xdr:twoCellAnchor>
    <xdr:from>
      <xdr:col>75</xdr:col>
      <xdr:colOff>114300</xdr:colOff>
      <xdr:row>11</xdr:row>
      <xdr:rowOff>276225</xdr:rowOff>
    </xdr:from>
    <xdr:to>
      <xdr:col>75</xdr:col>
      <xdr:colOff>333375</xdr:colOff>
      <xdr:row>12</xdr:row>
      <xdr:rowOff>85725</xdr:rowOff>
    </xdr:to>
    <xdr:sp>
      <xdr:nvSpPr>
        <xdr:cNvPr id="59" name="Oval 59"/>
        <xdr:cNvSpPr>
          <a:spLocks/>
        </xdr:cNvSpPr>
      </xdr:nvSpPr>
      <xdr:spPr>
        <a:xfrm>
          <a:off x="33775650" y="43338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75</xdr:col>
      <xdr:colOff>219075</xdr:colOff>
      <xdr:row>12</xdr:row>
      <xdr:rowOff>0</xdr:rowOff>
    </xdr:from>
    <xdr:ext cx="495300" cy="438150"/>
    <xdr:sp>
      <xdr:nvSpPr>
        <xdr:cNvPr id="60" name="TextBox 60"/>
        <xdr:cNvSpPr txBox="1">
          <a:spLocks noChangeArrowheads="1"/>
        </xdr:cNvSpPr>
      </xdr:nvSpPr>
      <xdr:spPr>
        <a:xfrm>
          <a:off x="33880425" y="449580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x30</a:t>
          </a:r>
        </a:p>
      </xdr:txBody>
    </xdr:sp>
    <xdr:clientData/>
  </xdr:oneCellAnchor>
  <xdr:twoCellAnchor>
    <xdr:from>
      <xdr:col>77</xdr:col>
      <xdr:colOff>85725</xdr:colOff>
      <xdr:row>28</xdr:row>
      <xdr:rowOff>304800</xdr:rowOff>
    </xdr:from>
    <xdr:to>
      <xdr:col>77</xdr:col>
      <xdr:colOff>304800</xdr:colOff>
      <xdr:row>29</xdr:row>
      <xdr:rowOff>114300</xdr:rowOff>
    </xdr:to>
    <xdr:sp>
      <xdr:nvSpPr>
        <xdr:cNvPr id="61" name="Oval 61"/>
        <xdr:cNvSpPr>
          <a:spLocks/>
        </xdr:cNvSpPr>
      </xdr:nvSpPr>
      <xdr:spPr>
        <a:xfrm>
          <a:off x="34623375" y="118110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219075</xdr:colOff>
      <xdr:row>29</xdr:row>
      <xdr:rowOff>66675</xdr:rowOff>
    </xdr:from>
    <xdr:ext cx="495300" cy="438150"/>
    <xdr:sp>
      <xdr:nvSpPr>
        <xdr:cNvPr id="62" name="TextBox 62"/>
        <xdr:cNvSpPr txBox="1">
          <a:spLocks noChangeArrowheads="1"/>
        </xdr:cNvSpPr>
      </xdr:nvSpPr>
      <xdr:spPr>
        <a:xfrm>
          <a:off x="34756725" y="120110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x31</a:t>
          </a:r>
        </a:p>
      </xdr:txBody>
    </xdr:sp>
    <xdr:clientData/>
  </xdr:oneCellAnchor>
  <xdr:twoCellAnchor>
    <xdr:from>
      <xdr:col>34</xdr:col>
      <xdr:colOff>85725</xdr:colOff>
      <xdr:row>23</xdr:row>
      <xdr:rowOff>285750</xdr:rowOff>
    </xdr:from>
    <xdr:to>
      <xdr:col>34</xdr:col>
      <xdr:colOff>304800</xdr:colOff>
      <xdr:row>24</xdr:row>
      <xdr:rowOff>104775</xdr:rowOff>
    </xdr:to>
    <xdr:sp>
      <xdr:nvSpPr>
        <xdr:cNvPr id="63" name="Oval 63"/>
        <xdr:cNvSpPr>
          <a:spLocks/>
        </xdr:cNvSpPr>
      </xdr:nvSpPr>
      <xdr:spPr>
        <a:xfrm>
          <a:off x="15782925" y="9601200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34</xdr:col>
      <xdr:colOff>219075</xdr:colOff>
      <xdr:row>24</xdr:row>
      <xdr:rowOff>0</xdr:rowOff>
    </xdr:from>
    <xdr:ext cx="495300" cy="438150"/>
    <xdr:sp>
      <xdr:nvSpPr>
        <xdr:cNvPr id="64" name="TextBox 64"/>
        <xdr:cNvSpPr txBox="1">
          <a:spLocks noChangeArrowheads="1"/>
        </xdr:cNvSpPr>
      </xdr:nvSpPr>
      <xdr:spPr>
        <a:xfrm>
          <a:off x="15916275" y="975360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x32</a:t>
          </a:r>
        </a:p>
      </xdr:txBody>
    </xdr:sp>
    <xdr:clientData/>
  </xdr:oneCellAnchor>
  <xdr:twoCellAnchor>
    <xdr:from>
      <xdr:col>66</xdr:col>
      <xdr:colOff>0</xdr:colOff>
      <xdr:row>24</xdr:row>
      <xdr:rowOff>428625</xdr:rowOff>
    </xdr:from>
    <xdr:to>
      <xdr:col>66</xdr:col>
      <xdr:colOff>219075</xdr:colOff>
      <xdr:row>25</xdr:row>
      <xdr:rowOff>238125</xdr:rowOff>
    </xdr:to>
    <xdr:sp>
      <xdr:nvSpPr>
        <xdr:cNvPr id="65" name="Oval 65"/>
        <xdr:cNvSpPr>
          <a:spLocks/>
        </xdr:cNvSpPr>
      </xdr:nvSpPr>
      <xdr:spPr>
        <a:xfrm>
          <a:off x="29718000" y="101822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66</xdr:col>
      <xdr:colOff>161925</xdr:colOff>
      <xdr:row>25</xdr:row>
      <xdr:rowOff>123825</xdr:rowOff>
    </xdr:from>
    <xdr:ext cx="495300" cy="438150"/>
    <xdr:sp>
      <xdr:nvSpPr>
        <xdr:cNvPr id="66" name="TextBox 66"/>
        <xdr:cNvSpPr txBox="1">
          <a:spLocks noChangeArrowheads="1"/>
        </xdr:cNvSpPr>
      </xdr:nvSpPr>
      <xdr:spPr>
        <a:xfrm>
          <a:off x="29879925" y="103155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x33</a:t>
          </a:r>
        </a:p>
      </xdr:txBody>
    </xdr:sp>
    <xdr:clientData/>
  </xdr:oneCellAnchor>
  <xdr:twoCellAnchor>
    <xdr:from>
      <xdr:col>47</xdr:col>
      <xdr:colOff>361950</xdr:colOff>
      <xdr:row>44</xdr:row>
      <xdr:rowOff>314325</xdr:rowOff>
    </xdr:from>
    <xdr:to>
      <xdr:col>48</xdr:col>
      <xdr:colOff>142875</xdr:colOff>
      <xdr:row>45</xdr:row>
      <xdr:rowOff>123825</xdr:rowOff>
    </xdr:to>
    <xdr:sp>
      <xdr:nvSpPr>
        <xdr:cNvPr id="67" name="Oval 67"/>
        <xdr:cNvSpPr>
          <a:spLocks/>
        </xdr:cNvSpPr>
      </xdr:nvSpPr>
      <xdr:spPr>
        <a:xfrm>
          <a:off x="21755100" y="18830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48</xdr:col>
      <xdr:colOff>57150</xdr:colOff>
      <xdr:row>45</xdr:row>
      <xdr:rowOff>66675</xdr:rowOff>
    </xdr:from>
    <xdr:ext cx="495300" cy="438150"/>
    <xdr:sp>
      <xdr:nvSpPr>
        <xdr:cNvPr id="68" name="TextBox 68"/>
        <xdr:cNvSpPr txBox="1">
          <a:spLocks noChangeArrowheads="1"/>
        </xdr:cNvSpPr>
      </xdr:nvSpPr>
      <xdr:spPr>
        <a:xfrm>
          <a:off x="21888450" y="190214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x34</a:t>
          </a:r>
        </a:p>
      </xdr:txBody>
    </xdr:sp>
    <xdr:clientData/>
  </xdr:oneCellAnchor>
  <xdr:twoCellAnchor>
    <xdr:from>
      <xdr:col>1</xdr:col>
      <xdr:colOff>828675</xdr:colOff>
      <xdr:row>34</xdr:row>
      <xdr:rowOff>238125</xdr:rowOff>
    </xdr:from>
    <xdr:to>
      <xdr:col>2</xdr:col>
      <xdr:colOff>209550</xdr:colOff>
      <xdr:row>35</xdr:row>
      <xdr:rowOff>47625</xdr:rowOff>
    </xdr:to>
    <xdr:sp>
      <xdr:nvSpPr>
        <xdr:cNvPr id="69" name="Oval 69"/>
        <xdr:cNvSpPr>
          <a:spLocks/>
        </xdr:cNvSpPr>
      </xdr:nvSpPr>
      <xdr:spPr>
        <a:xfrm>
          <a:off x="1666875" y="143732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114300</xdr:colOff>
      <xdr:row>34</xdr:row>
      <xdr:rowOff>371475</xdr:rowOff>
    </xdr:from>
    <xdr:ext cx="485775" cy="438150"/>
    <xdr:sp>
      <xdr:nvSpPr>
        <xdr:cNvPr id="70" name="TextBox 70"/>
        <xdr:cNvSpPr txBox="1">
          <a:spLocks noChangeArrowheads="1"/>
        </xdr:cNvSpPr>
      </xdr:nvSpPr>
      <xdr:spPr>
        <a:xfrm>
          <a:off x="1790700" y="14506575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x35</a:t>
          </a:r>
        </a:p>
      </xdr:txBody>
    </xdr:sp>
    <xdr:clientData/>
  </xdr:oneCellAnchor>
  <xdr:twoCellAnchor>
    <xdr:from>
      <xdr:col>74</xdr:col>
      <xdr:colOff>95250</xdr:colOff>
      <xdr:row>18</xdr:row>
      <xdr:rowOff>400050</xdr:rowOff>
    </xdr:from>
    <xdr:to>
      <xdr:col>74</xdr:col>
      <xdr:colOff>314325</xdr:colOff>
      <xdr:row>19</xdr:row>
      <xdr:rowOff>209550</xdr:rowOff>
    </xdr:to>
    <xdr:sp>
      <xdr:nvSpPr>
        <xdr:cNvPr id="71" name="Oval 71"/>
        <xdr:cNvSpPr>
          <a:spLocks/>
        </xdr:cNvSpPr>
      </xdr:nvSpPr>
      <xdr:spPr>
        <a:xfrm>
          <a:off x="33318450" y="75247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74</xdr:col>
      <xdr:colOff>219075</xdr:colOff>
      <xdr:row>19</xdr:row>
      <xdr:rowOff>123825</xdr:rowOff>
    </xdr:from>
    <xdr:ext cx="495300" cy="438150"/>
    <xdr:sp>
      <xdr:nvSpPr>
        <xdr:cNvPr id="72" name="TextBox 72"/>
        <xdr:cNvSpPr txBox="1">
          <a:spLocks noChangeArrowheads="1"/>
        </xdr:cNvSpPr>
      </xdr:nvSpPr>
      <xdr:spPr>
        <a:xfrm>
          <a:off x="33442275" y="76866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x36</a:t>
          </a:r>
        </a:p>
      </xdr:txBody>
    </xdr:sp>
    <xdr:clientData/>
  </xdr:oneCellAnchor>
  <xdr:twoCellAnchor>
    <xdr:from>
      <xdr:col>79</xdr:col>
      <xdr:colOff>152400</xdr:colOff>
      <xdr:row>10</xdr:row>
      <xdr:rowOff>323850</xdr:rowOff>
    </xdr:from>
    <xdr:to>
      <xdr:col>79</xdr:col>
      <xdr:colOff>371475</xdr:colOff>
      <xdr:row>11</xdr:row>
      <xdr:rowOff>133350</xdr:rowOff>
    </xdr:to>
    <xdr:sp>
      <xdr:nvSpPr>
        <xdr:cNvPr id="73" name="Oval 73"/>
        <xdr:cNvSpPr>
          <a:spLocks/>
        </xdr:cNvSpPr>
      </xdr:nvSpPr>
      <xdr:spPr>
        <a:xfrm>
          <a:off x="35566350" y="39433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79</xdr:col>
      <xdr:colOff>333375</xdr:colOff>
      <xdr:row>11</xdr:row>
      <xdr:rowOff>66675</xdr:rowOff>
    </xdr:from>
    <xdr:ext cx="485775" cy="438150"/>
    <xdr:sp>
      <xdr:nvSpPr>
        <xdr:cNvPr id="74" name="TextBox 74"/>
        <xdr:cNvSpPr txBox="1">
          <a:spLocks noChangeArrowheads="1"/>
        </xdr:cNvSpPr>
      </xdr:nvSpPr>
      <xdr:spPr>
        <a:xfrm>
          <a:off x="35747325" y="4124325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x37</a:t>
          </a:r>
        </a:p>
      </xdr:txBody>
    </xdr:sp>
    <xdr:clientData/>
  </xdr:oneCellAnchor>
  <xdr:twoCellAnchor>
    <xdr:from>
      <xdr:col>75</xdr:col>
      <xdr:colOff>285750</xdr:colOff>
      <xdr:row>34</xdr:row>
      <xdr:rowOff>114300</xdr:rowOff>
    </xdr:from>
    <xdr:to>
      <xdr:col>76</xdr:col>
      <xdr:colOff>66675</xdr:colOff>
      <xdr:row>34</xdr:row>
      <xdr:rowOff>361950</xdr:rowOff>
    </xdr:to>
    <xdr:sp>
      <xdr:nvSpPr>
        <xdr:cNvPr id="75" name="Oval 75"/>
        <xdr:cNvSpPr>
          <a:spLocks/>
        </xdr:cNvSpPr>
      </xdr:nvSpPr>
      <xdr:spPr>
        <a:xfrm>
          <a:off x="33947100" y="142494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76</xdr:col>
      <xdr:colOff>0</xdr:colOff>
      <xdr:row>34</xdr:row>
      <xdr:rowOff>247650</xdr:rowOff>
    </xdr:from>
    <xdr:ext cx="495300" cy="438150"/>
    <xdr:sp>
      <xdr:nvSpPr>
        <xdr:cNvPr id="76" name="TextBox 76"/>
        <xdr:cNvSpPr txBox="1">
          <a:spLocks noChangeArrowheads="1"/>
        </xdr:cNvSpPr>
      </xdr:nvSpPr>
      <xdr:spPr>
        <a:xfrm>
          <a:off x="34099500" y="143827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x38</a:t>
          </a:r>
        </a:p>
      </xdr:txBody>
    </xdr:sp>
    <xdr:clientData/>
  </xdr:oneCellAnchor>
  <xdr:twoCellAnchor>
    <xdr:from>
      <xdr:col>36</xdr:col>
      <xdr:colOff>247650</xdr:colOff>
      <xdr:row>28</xdr:row>
      <xdr:rowOff>171450</xdr:rowOff>
    </xdr:from>
    <xdr:to>
      <xdr:col>37</xdr:col>
      <xdr:colOff>28575</xdr:colOff>
      <xdr:row>28</xdr:row>
      <xdr:rowOff>428625</xdr:rowOff>
    </xdr:to>
    <xdr:sp>
      <xdr:nvSpPr>
        <xdr:cNvPr id="77" name="Oval 77"/>
        <xdr:cNvSpPr>
          <a:spLocks/>
        </xdr:cNvSpPr>
      </xdr:nvSpPr>
      <xdr:spPr>
        <a:xfrm>
          <a:off x="16821150" y="116776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36</xdr:col>
      <xdr:colOff>381000</xdr:colOff>
      <xdr:row>28</xdr:row>
      <xdr:rowOff>371475</xdr:rowOff>
    </xdr:from>
    <xdr:ext cx="495300" cy="438150"/>
    <xdr:sp>
      <xdr:nvSpPr>
        <xdr:cNvPr id="78" name="TextBox 78"/>
        <xdr:cNvSpPr txBox="1">
          <a:spLocks noChangeArrowheads="1"/>
        </xdr:cNvSpPr>
      </xdr:nvSpPr>
      <xdr:spPr>
        <a:xfrm>
          <a:off x="16954500" y="118776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x39</a:t>
          </a:r>
        </a:p>
      </xdr:txBody>
    </xdr:sp>
    <xdr:clientData/>
  </xdr:oneCellAnchor>
  <xdr:twoCellAnchor>
    <xdr:from>
      <xdr:col>64</xdr:col>
      <xdr:colOff>200025</xdr:colOff>
      <xdr:row>35</xdr:row>
      <xdr:rowOff>152400</xdr:rowOff>
    </xdr:from>
    <xdr:to>
      <xdr:col>64</xdr:col>
      <xdr:colOff>419100</xdr:colOff>
      <xdr:row>35</xdr:row>
      <xdr:rowOff>400050</xdr:rowOff>
    </xdr:to>
    <xdr:sp>
      <xdr:nvSpPr>
        <xdr:cNvPr id="79" name="Oval 79"/>
        <xdr:cNvSpPr>
          <a:spLocks/>
        </xdr:cNvSpPr>
      </xdr:nvSpPr>
      <xdr:spPr>
        <a:xfrm>
          <a:off x="29041725" y="147256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64</xdr:col>
      <xdr:colOff>333375</xdr:colOff>
      <xdr:row>35</xdr:row>
      <xdr:rowOff>314325</xdr:rowOff>
    </xdr:from>
    <xdr:ext cx="485775" cy="438150"/>
    <xdr:sp>
      <xdr:nvSpPr>
        <xdr:cNvPr id="80" name="TextBox 80"/>
        <xdr:cNvSpPr txBox="1">
          <a:spLocks noChangeArrowheads="1"/>
        </xdr:cNvSpPr>
      </xdr:nvSpPr>
      <xdr:spPr>
        <a:xfrm>
          <a:off x="29175075" y="14887575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x40</a:t>
          </a:r>
        </a:p>
      </xdr:txBody>
    </xdr:sp>
    <xdr:clientData/>
  </xdr:oneCellAnchor>
  <xdr:twoCellAnchor>
    <xdr:from>
      <xdr:col>51</xdr:col>
      <xdr:colOff>266700</xdr:colOff>
      <xdr:row>55</xdr:row>
      <xdr:rowOff>133350</xdr:rowOff>
    </xdr:from>
    <xdr:to>
      <xdr:col>52</xdr:col>
      <xdr:colOff>47625</xdr:colOff>
      <xdr:row>55</xdr:row>
      <xdr:rowOff>390525</xdr:rowOff>
    </xdr:to>
    <xdr:sp>
      <xdr:nvSpPr>
        <xdr:cNvPr id="81" name="Oval 81"/>
        <xdr:cNvSpPr>
          <a:spLocks/>
        </xdr:cNvSpPr>
      </xdr:nvSpPr>
      <xdr:spPr>
        <a:xfrm>
          <a:off x="23412450" y="234696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51</xdr:col>
      <xdr:colOff>381000</xdr:colOff>
      <xdr:row>55</xdr:row>
      <xdr:rowOff>314325</xdr:rowOff>
    </xdr:from>
    <xdr:ext cx="495300" cy="438150"/>
    <xdr:sp>
      <xdr:nvSpPr>
        <xdr:cNvPr id="82" name="TextBox 82"/>
        <xdr:cNvSpPr txBox="1">
          <a:spLocks noChangeArrowheads="1"/>
        </xdr:cNvSpPr>
      </xdr:nvSpPr>
      <xdr:spPr>
        <a:xfrm>
          <a:off x="23526750" y="236505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x41</a:t>
          </a:r>
        </a:p>
      </xdr:txBody>
    </xdr:sp>
    <xdr:clientData/>
  </xdr:oneCellAnchor>
  <xdr:twoCellAnchor>
    <xdr:from>
      <xdr:col>20</xdr:col>
      <xdr:colOff>390525</xdr:colOff>
      <xdr:row>41</xdr:row>
      <xdr:rowOff>0</xdr:rowOff>
    </xdr:from>
    <xdr:to>
      <xdr:col>21</xdr:col>
      <xdr:colOff>171450</xdr:colOff>
      <xdr:row>41</xdr:row>
      <xdr:rowOff>247650</xdr:rowOff>
    </xdr:to>
    <xdr:sp>
      <xdr:nvSpPr>
        <xdr:cNvPr id="83" name="Oval 83"/>
        <xdr:cNvSpPr>
          <a:spLocks/>
        </xdr:cNvSpPr>
      </xdr:nvSpPr>
      <xdr:spPr>
        <a:xfrm>
          <a:off x="9953625" y="172021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21</xdr:col>
      <xdr:colOff>114300</xdr:colOff>
      <xdr:row>41</xdr:row>
      <xdr:rowOff>190500</xdr:rowOff>
    </xdr:from>
    <xdr:ext cx="485775" cy="438150"/>
    <xdr:sp>
      <xdr:nvSpPr>
        <xdr:cNvPr id="84" name="TextBox 84"/>
        <xdr:cNvSpPr txBox="1">
          <a:spLocks noChangeArrowheads="1"/>
        </xdr:cNvSpPr>
      </xdr:nvSpPr>
      <xdr:spPr>
        <a:xfrm>
          <a:off x="10115550" y="1739265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x42</a:t>
          </a:r>
        </a:p>
      </xdr:txBody>
    </xdr:sp>
    <xdr:clientData/>
  </xdr:oneCellAnchor>
  <xdr:twoCellAnchor>
    <xdr:from>
      <xdr:col>74</xdr:col>
      <xdr:colOff>238125</xdr:colOff>
      <xdr:row>7</xdr:row>
      <xdr:rowOff>314325</xdr:rowOff>
    </xdr:from>
    <xdr:to>
      <xdr:col>75</xdr:col>
      <xdr:colOff>19050</xdr:colOff>
      <xdr:row>8</xdr:row>
      <xdr:rowOff>123825</xdr:rowOff>
    </xdr:to>
    <xdr:sp>
      <xdr:nvSpPr>
        <xdr:cNvPr id="85" name="Oval 85"/>
        <xdr:cNvSpPr>
          <a:spLocks/>
        </xdr:cNvSpPr>
      </xdr:nvSpPr>
      <xdr:spPr>
        <a:xfrm>
          <a:off x="33461325" y="26193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74</xdr:col>
      <xdr:colOff>381000</xdr:colOff>
      <xdr:row>8</xdr:row>
      <xdr:rowOff>66675</xdr:rowOff>
    </xdr:from>
    <xdr:ext cx="495300" cy="438150"/>
    <xdr:sp>
      <xdr:nvSpPr>
        <xdr:cNvPr id="86" name="TextBox 86"/>
        <xdr:cNvSpPr txBox="1">
          <a:spLocks noChangeArrowheads="1"/>
        </xdr:cNvSpPr>
      </xdr:nvSpPr>
      <xdr:spPr>
        <a:xfrm>
          <a:off x="33604200" y="28098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x43</a:t>
          </a:r>
        </a:p>
      </xdr:txBody>
    </xdr:sp>
    <xdr:clientData/>
  </xdr:oneCellAnchor>
  <xdr:twoCellAnchor>
    <xdr:from>
      <xdr:col>76</xdr:col>
      <xdr:colOff>361950</xdr:colOff>
      <xdr:row>24</xdr:row>
      <xdr:rowOff>133350</xdr:rowOff>
    </xdr:from>
    <xdr:to>
      <xdr:col>77</xdr:col>
      <xdr:colOff>142875</xdr:colOff>
      <xdr:row>24</xdr:row>
      <xdr:rowOff>390525</xdr:rowOff>
    </xdr:to>
    <xdr:sp>
      <xdr:nvSpPr>
        <xdr:cNvPr id="87" name="Oval 87"/>
        <xdr:cNvSpPr>
          <a:spLocks/>
        </xdr:cNvSpPr>
      </xdr:nvSpPr>
      <xdr:spPr>
        <a:xfrm>
          <a:off x="34461450" y="98869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57150</xdr:colOff>
      <xdr:row>24</xdr:row>
      <xdr:rowOff>314325</xdr:rowOff>
    </xdr:from>
    <xdr:ext cx="495300" cy="438150"/>
    <xdr:sp>
      <xdr:nvSpPr>
        <xdr:cNvPr id="88" name="TextBox 88"/>
        <xdr:cNvSpPr txBox="1">
          <a:spLocks noChangeArrowheads="1"/>
        </xdr:cNvSpPr>
      </xdr:nvSpPr>
      <xdr:spPr>
        <a:xfrm>
          <a:off x="34594800" y="100679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x44</a:t>
          </a:r>
        </a:p>
      </xdr:txBody>
    </xdr:sp>
    <xdr:clientData/>
  </xdr:oneCellAnchor>
  <xdr:twoCellAnchor>
    <xdr:from>
      <xdr:col>1</xdr:col>
      <xdr:colOff>771525</xdr:colOff>
      <xdr:row>29</xdr:row>
      <xdr:rowOff>409575</xdr:rowOff>
    </xdr:from>
    <xdr:to>
      <xdr:col>2</xdr:col>
      <xdr:colOff>152400</xdr:colOff>
      <xdr:row>30</xdr:row>
      <xdr:rowOff>228600</xdr:rowOff>
    </xdr:to>
    <xdr:sp>
      <xdr:nvSpPr>
        <xdr:cNvPr id="89" name="Oval 89"/>
        <xdr:cNvSpPr>
          <a:spLocks/>
        </xdr:cNvSpPr>
      </xdr:nvSpPr>
      <xdr:spPr>
        <a:xfrm>
          <a:off x="1609725" y="1235392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57150</xdr:colOff>
      <xdr:row>30</xdr:row>
      <xdr:rowOff>123825</xdr:rowOff>
    </xdr:from>
    <xdr:ext cx="495300" cy="438150"/>
    <xdr:sp>
      <xdr:nvSpPr>
        <xdr:cNvPr id="90" name="TextBox 90"/>
        <xdr:cNvSpPr txBox="1">
          <a:spLocks noChangeArrowheads="1"/>
        </xdr:cNvSpPr>
      </xdr:nvSpPr>
      <xdr:spPr>
        <a:xfrm>
          <a:off x="1733550" y="125063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x45</a:t>
          </a:r>
        </a:p>
      </xdr:txBody>
    </xdr:sp>
    <xdr:clientData/>
  </xdr:oneCellAnchor>
  <xdr:twoCellAnchor>
    <xdr:from>
      <xdr:col>69</xdr:col>
      <xdr:colOff>352425</xdr:colOff>
      <xdr:row>26</xdr:row>
      <xdr:rowOff>333375</xdr:rowOff>
    </xdr:from>
    <xdr:to>
      <xdr:col>70</xdr:col>
      <xdr:colOff>133350</xdr:colOff>
      <xdr:row>27</xdr:row>
      <xdr:rowOff>152400</xdr:rowOff>
    </xdr:to>
    <xdr:sp>
      <xdr:nvSpPr>
        <xdr:cNvPr id="91" name="Oval 91"/>
        <xdr:cNvSpPr>
          <a:spLocks/>
        </xdr:cNvSpPr>
      </xdr:nvSpPr>
      <xdr:spPr>
        <a:xfrm>
          <a:off x="31384875" y="1096327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70</xdr:col>
      <xdr:colOff>57150</xdr:colOff>
      <xdr:row>27</xdr:row>
      <xdr:rowOff>66675</xdr:rowOff>
    </xdr:from>
    <xdr:ext cx="495300" cy="438150"/>
    <xdr:sp>
      <xdr:nvSpPr>
        <xdr:cNvPr id="92" name="TextBox 92"/>
        <xdr:cNvSpPr txBox="1">
          <a:spLocks noChangeArrowheads="1"/>
        </xdr:cNvSpPr>
      </xdr:nvSpPr>
      <xdr:spPr>
        <a:xfrm>
          <a:off x="31527750" y="111347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x46</a:t>
          </a:r>
        </a:p>
      </xdr:txBody>
    </xdr:sp>
    <xdr:clientData/>
  </xdr:oneCellAnchor>
  <xdr:twoCellAnchor>
    <xdr:from>
      <xdr:col>53</xdr:col>
      <xdr:colOff>266700</xdr:colOff>
      <xdr:row>24</xdr:row>
      <xdr:rowOff>47625</xdr:rowOff>
    </xdr:from>
    <xdr:to>
      <xdr:col>54</xdr:col>
      <xdr:colOff>47625</xdr:colOff>
      <xdr:row>24</xdr:row>
      <xdr:rowOff>304800</xdr:rowOff>
    </xdr:to>
    <xdr:sp>
      <xdr:nvSpPr>
        <xdr:cNvPr id="93" name="Oval 93"/>
        <xdr:cNvSpPr>
          <a:spLocks/>
        </xdr:cNvSpPr>
      </xdr:nvSpPr>
      <xdr:spPr>
        <a:xfrm>
          <a:off x="24288750" y="98012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53</xdr:col>
      <xdr:colOff>381000</xdr:colOff>
      <xdr:row>24</xdr:row>
      <xdr:rowOff>247650</xdr:rowOff>
    </xdr:from>
    <xdr:ext cx="495300" cy="438150"/>
    <xdr:sp>
      <xdr:nvSpPr>
        <xdr:cNvPr id="94" name="TextBox 94"/>
        <xdr:cNvSpPr txBox="1">
          <a:spLocks noChangeArrowheads="1"/>
        </xdr:cNvSpPr>
      </xdr:nvSpPr>
      <xdr:spPr>
        <a:xfrm>
          <a:off x="24403050" y="100012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x47</a:t>
          </a:r>
        </a:p>
      </xdr:txBody>
    </xdr:sp>
    <xdr:clientData/>
  </xdr:oneCellAnchor>
  <xdr:twoCellAnchor>
    <xdr:from>
      <xdr:col>31</xdr:col>
      <xdr:colOff>428625</xdr:colOff>
      <xdr:row>37</xdr:row>
      <xdr:rowOff>123825</xdr:rowOff>
    </xdr:from>
    <xdr:to>
      <xdr:col>32</xdr:col>
      <xdr:colOff>209550</xdr:colOff>
      <xdr:row>37</xdr:row>
      <xdr:rowOff>371475</xdr:rowOff>
    </xdr:to>
    <xdr:sp>
      <xdr:nvSpPr>
        <xdr:cNvPr id="95" name="Oval 95"/>
        <xdr:cNvSpPr>
          <a:spLocks/>
        </xdr:cNvSpPr>
      </xdr:nvSpPr>
      <xdr:spPr>
        <a:xfrm>
          <a:off x="14811375" y="155733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32</xdr:col>
      <xdr:colOff>114300</xdr:colOff>
      <xdr:row>37</xdr:row>
      <xdr:rowOff>247650</xdr:rowOff>
    </xdr:from>
    <xdr:ext cx="485775" cy="438150"/>
    <xdr:sp>
      <xdr:nvSpPr>
        <xdr:cNvPr id="96" name="TextBox 96"/>
        <xdr:cNvSpPr txBox="1">
          <a:spLocks noChangeArrowheads="1"/>
        </xdr:cNvSpPr>
      </xdr:nvSpPr>
      <xdr:spPr>
        <a:xfrm>
          <a:off x="14935200" y="1569720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x48</a:t>
          </a:r>
        </a:p>
      </xdr:txBody>
    </xdr:sp>
    <xdr:clientData/>
  </xdr:oneCellAnchor>
  <xdr:twoCellAnchor>
    <xdr:from>
      <xdr:col>69</xdr:col>
      <xdr:colOff>247650</xdr:colOff>
      <xdr:row>42</xdr:row>
      <xdr:rowOff>238125</xdr:rowOff>
    </xdr:from>
    <xdr:to>
      <xdr:col>74</xdr:col>
      <xdr:colOff>171450</xdr:colOff>
      <xdr:row>44</xdr:row>
      <xdr:rowOff>104775</xdr:rowOff>
    </xdr:to>
    <xdr:sp>
      <xdr:nvSpPr>
        <xdr:cNvPr id="97" name="Line 97"/>
        <xdr:cNvSpPr>
          <a:spLocks/>
        </xdr:cNvSpPr>
      </xdr:nvSpPr>
      <xdr:spPr>
        <a:xfrm>
          <a:off x="31280100" y="17878425"/>
          <a:ext cx="2114550" cy="742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228600</xdr:colOff>
      <xdr:row>49</xdr:row>
      <xdr:rowOff>266700</xdr:rowOff>
    </xdr:from>
    <xdr:to>
      <xdr:col>33</xdr:col>
      <xdr:colOff>238125</xdr:colOff>
      <xdr:row>56</xdr:row>
      <xdr:rowOff>314325</xdr:rowOff>
    </xdr:to>
    <xdr:sp>
      <xdr:nvSpPr>
        <xdr:cNvPr id="98" name="Line 98"/>
        <xdr:cNvSpPr>
          <a:spLocks/>
        </xdr:cNvSpPr>
      </xdr:nvSpPr>
      <xdr:spPr>
        <a:xfrm flipV="1">
          <a:off x="11544300" y="20974050"/>
          <a:ext cx="3952875" cy="3114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48</xdr:col>
      <xdr:colOff>133350</xdr:colOff>
      <xdr:row>42</xdr:row>
      <xdr:rowOff>352425</xdr:rowOff>
    </xdr:from>
    <xdr:to>
      <xdr:col>57</xdr:col>
      <xdr:colOff>19050</xdr:colOff>
      <xdr:row>44</xdr:row>
      <xdr:rowOff>409575</xdr:rowOff>
    </xdr:to>
    <xdr:sp>
      <xdr:nvSpPr>
        <xdr:cNvPr id="99" name="Line 99"/>
        <xdr:cNvSpPr>
          <a:spLocks/>
        </xdr:cNvSpPr>
      </xdr:nvSpPr>
      <xdr:spPr>
        <a:xfrm flipH="1">
          <a:off x="21964650" y="17992725"/>
          <a:ext cx="3829050" cy="933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95250</xdr:colOff>
      <xdr:row>47</xdr:row>
      <xdr:rowOff>28575</xdr:rowOff>
    </xdr:from>
    <xdr:to>
      <xdr:col>8</xdr:col>
      <xdr:colOff>228600</xdr:colOff>
      <xdr:row>48</xdr:row>
      <xdr:rowOff>190500</xdr:rowOff>
    </xdr:to>
    <xdr:sp>
      <xdr:nvSpPr>
        <xdr:cNvPr id="100" name="Line 100"/>
        <xdr:cNvSpPr>
          <a:spLocks/>
        </xdr:cNvSpPr>
      </xdr:nvSpPr>
      <xdr:spPr>
        <a:xfrm flipV="1">
          <a:off x="3524250" y="19859625"/>
          <a:ext cx="1009650" cy="600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32</xdr:col>
      <xdr:colOff>123825</xdr:colOff>
      <xdr:row>37</xdr:row>
      <xdr:rowOff>371475</xdr:rowOff>
    </xdr:from>
    <xdr:to>
      <xdr:col>32</xdr:col>
      <xdr:colOff>333375</xdr:colOff>
      <xdr:row>40</xdr:row>
      <xdr:rowOff>114300</xdr:rowOff>
    </xdr:to>
    <xdr:sp>
      <xdr:nvSpPr>
        <xdr:cNvPr id="101" name="Line 101"/>
        <xdr:cNvSpPr>
          <a:spLocks/>
        </xdr:cNvSpPr>
      </xdr:nvSpPr>
      <xdr:spPr>
        <a:xfrm flipH="1" flipV="1">
          <a:off x="14944725" y="15821025"/>
          <a:ext cx="209550" cy="1057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78</xdr:col>
      <xdr:colOff>123825</xdr:colOff>
      <xdr:row>11</xdr:row>
      <xdr:rowOff>85725</xdr:rowOff>
    </xdr:from>
    <xdr:to>
      <xdr:col>79</xdr:col>
      <xdr:colOff>171450</xdr:colOff>
      <xdr:row>12</xdr:row>
      <xdr:rowOff>104775</xdr:rowOff>
    </xdr:to>
    <xdr:sp>
      <xdr:nvSpPr>
        <xdr:cNvPr id="102" name="Line 102"/>
        <xdr:cNvSpPr>
          <a:spLocks/>
        </xdr:cNvSpPr>
      </xdr:nvSpPr>
      <xdr:spPr>
        <a:xfrm flipV="1">
          <a:off x="35099625" y="4143375"/>
          <a:ext cx="485775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190500</xdr:colOff>
      <xdr:row>17</xdr:row>
      <xdr:rowOff>200025</xdr:rowOff>
    </xdr:from>
    <xdr:to>
      <xdr:col>77</xdr:col>
      <xdr:colOff>295275</xdr:colOff>
      <xdr:row>19</xdr:row>
      <xdr:rowOff>238125</xdr:rowOff>
    </xdr:to>
    <xdr:sp>
      <xdr:nvSpPr>
        <xdr:cNvPr id="103" name="Line 103"/>
        <xdr:cNvSpPr>
          <a:spLocks/>
        </xdr:cNvSpPr>
      </xdr:nvSpPr>
      <xdr:spPr>
        <a:xfrm flipH="1" flipV="1">
          <a:off x="34728150" y="6886575"/>
          <a:ext cx="114300" cy="914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71</xdr:col>
      <xdr:colOff>47625</xdr:colOff>
      <xdr:row>38</xdr:row>
      <xdr:rowOff>161925</xdr:rowOff>
    </xdr:from>
    <xdr:to>
      <xdr:col>74</xdr:col>
      <xdr:colOff>219075</xdr:colOff>
      <xdr:row>44</xdr:row>
      <xdr:rowOff>28575</xdr:rowOff>
    </xdr:to>
    <xdr:sp>
      <xdr:nvSpPr>
        <xdr:cNvPr id="104" name="Line 104"/>
        <xdr:cNvSpPr>
          <a:spLocks/>
        </xdr:cNvSpPr>
      </xdr:nvSpPr>
      <xdr:spPr>
        <a:xfrm flipH="1" flipV="1">
          <a:off x="31956375" y="16049625"/>
          <a:ext cx="1485900" cy="2495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71</xdr:col>
      <xdr:colOff>76200</xdr:colOff>
      <xdr:row>34</xdr:row>
      <xdr:rowOff>304800</xdr:rowOff>
    </xdr:from>
    <xdr:to>
      <xdr:col>75</xdr:col>
      <xdr:colOff>304800</xdr:colOff>
      <xdr:row>37</xdr:row>
      <xdr:rowOff>428625</xdr:rowOff>
    </xdr:to>
    <xdr:sp>
      <xdr:nvSpPr>
        <xdr:cNvPr id="105" name="Line 105"/>
        <xdr:cNvSpPr>
          <a:spLocks/>
        </xdr:cNvSpPr>
      </xdr:nvSpPr>
      <xdr:spPr>
        <a:xfrm flipV="1">
          <a:off x="31984950" y="14439900"/>
          <a:ext cx="1981200" cy="1438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133350</xdr:colOff>
      <xdr:row>30</xdr:row>
      <xdr:rowOff>152400</xdr:rowOff>
    </xdr:from>
    <xdr:to>
      <xdr:col>12</xdr:col>
      <xdr:colOff>381000</xdr:colOff>
      <xdr:row>36</xdr:row>
      <xdr:rowOff>161925</xdr:rowOff>
    </xdr:to>
    <xdr:sp>
      <xdr:nvSpPr>
        <xdr:cNvPr id="106" name="Line 106"/>
        <xdr:cNvSpPr>
          <a:spLocks/>
        </xdr:cNvSpPr>
      </xdr:nvSpPr>
      <xdr:spPr>
        <a:xfrm flipH="1" flipV="1">
          <a:off x="1809750" y="12534900"/>
          <a:ext cx="4629150" cy="2638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56</xdr:col>
      <xdr:colOff>390525</xdr:colOff>
      <xdr:row>28</xdr:row>
      <xdr:rowOff>161925</xdr:rowOff>
    </xdr:from>
    <xdr:to>
      <xdr:col>61</xdr:col>
      <xdr:colOff>285750</xdr:colOff>
      <xdr:row>30</xdr:row>
      <xdr:rowOff>352425</xdr:rowOff>
    </xdr:to>
    <xdr:sp>
      <xdr:nvSpPr>
        <xdr:cNvPr id="107" name="Line 107"/>
        <xdr:cNvSpPr>
          <a:spLocks/>
        </xdr:cNvSpPr>
      </xdr:nvSpPr>
      <xdr:spPr>
        <a:xfrm flipV="1">
          <a:off x="25727025" y="11668125"/>
          <a:ext cx="2085975" cy="1066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62</xdr:col>
      <xdr:colOff>47625</xdr:colOff>
      <xdr:row>28</xdr:row>
      <xdr:rowOff>161925</xdr:rowOff>
    </xdr:from>
    <xdr:to>
      <xdr:col>65</xdr:col>
      <xdr:colOff>95250</xdr:colOff>
      <xdr:row>30</xdr:row>
      <xdr:rowOff>9525</xdr:rowOff>
    </xdr:to>
    <xdr:sp>
      <xdr:nvSpPr>
        <xdr:cNvPr id="108" name="Line 108"/>
        <xdr:cNvSpPr>
          <a:spLocks/>
        </xdr:cNvSpPr>
      </xdr:nvSpPr>
      <xdr:spPr>
        <a:xfrm>
          <a:off x="28013025" y="11668125"/>
          <a:ext cx="1362075" cy="723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45</xdr:col>
      <xdr:colOff>114300</xdr:colOff>
      <xdr:row>30</xdr:row>
      <xdr:rowOff>190500</xdr:rowOff>
    </xdr:from>
    <xdr:to>
      <xdr:col>48</xdr:col>
      <xdr:colOff>371475</xdr:colOff>
      <xdr:row>33</xdr:row>
      <xdr:rowOff>266700</xdr:rowOff>
    </xdr:to>
    <xdr:sp>
      <xdr:nvSpPr>
        <xdr:cNvPr id="109" name="Line 109"/>
        <xdr:cNvSpPr>
          <a:spLocks/>
        </xdr:cNvSpPr>
      </xdr:nvSpPr>
      <xdr:spPr>
        <a:xfrm flipH="1">
          <a:off x="20631150" y="12573000"/>
          <a:ext cx="1571625" cy="1390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48</xdr:col>
      <xdr:colOff>152400</xdr:colOff>
      <xdr:row>35</xdr:row>
      <xdr:rowOff>104775</xdr:rowOff>
    </xdr:from>
    <xdr:to>
      <xdr:col>53</xdr:col>
      <xdr:colOff>314325</xdr:colOff>
      <xdr:row>36</xdr:row>
      <xdr:rowOff>247650</xdr:rowOff>
    </xdr:to>
    <xdr:sp>
      <xdr:nvSpPr>
        <xdr:cNvPr id="110" name="Line 110"/>
        <xdr:cNvSpPr>
          <a:spLocks/>
        </xdr:cNvSpPr>
      </xdr:nvSpPr>
      <xdr:spPr>
        <a:xfrm flipV="1">
          <a:off x="21983700" y="14678025"/>
          <a:ext cx="2352675" cy="581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64</xdr:col>
      <xdr:colOff>314325</xdr:colOff>
      <xdr:row>30</xdr:row>
      <xdr:rowOff>190500</xdr:rowOff>
    </xdr:from>
    <xdr:to>
      <xdr:col>65</xdr:col>
      <xdr:colOff>190500</xdr:colOff>
      <xdr:row>35</xdr:row>
      <xdr:rowOff>152400</xdr:rowOff>
    </xdr:to>
    <xdr:sp>
      <xdr:nvSpPr>
        <xdr:cNvPr id="111" name="Line 111"/>
        <xdr:cNvSpPr>
          <a:spLocks/>
        </xdr:cNvSpPr>
      </xdr:nvSpPr>
      <xdr:spPr>
        <a:xfrm flipH="1">
          <a:off x="29156025" y="12573000"/>
          <a:ext cx="314325" cy="2152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63</xdr:col>
      <xdr:colOff>0</xdr:colOff>
      <xdr:row>46</xdr:row>
      <xdr:rowOff>76200</xdr:rowOff>
    </xdr:from>
    <xdr:to>
      <xdr:col>63</xdr:col>
      <xdr:colOff>19050</xdr:colOff>
      <xdr:row>50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28403550" y="19469100"/>
          <a:ext cx="19050" cy="1676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74</xdr:col>
      <xdr:colOff>428625</xdr:colOff>
      <xdr:row>5</xdr:row>
      <xdr:rowOff>133350</xdr:rowOff>
    </xdr:from>
    <xdr:to>
      <xdr:col>77</xdr:col>
      <xdr:colOff>390525</xdr:colOff>
      <xdr:row>7</xdr:row>
      <xdr:rowOff>361950</xdr:rowOff>
    </xdr:to>
    <xdr:sp>
      <xdr:nvSpPr>
        <xdr:cNvPr id="113" name="Line 113"/>
        <xdr:cNvSpPr>
          <a:spLocks/>
        </xdr:cNvSpPr>
      </xdr:nvSpPr>
      <xdr:spPr>
        <a:xfrm flipH="1">
          <a:off x="33651825" y="1562100"/>
          <a:ext cx="1276350" cy="1104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76</xdr:col>
      <xdr:colOff>342900</xdr:colOff>
      <xdr:row>20</xdr:row>
      <xdr:rowOff>9525</xdr:rowOff>
    </xdr:from>
    <xdr:to>
      <xdr:col>77</xdr:col>
      <xdr:colOff>238125</xdr:colOff>
      <xdr:row>20</xdr:row>
      <xdr:rowOff>390525</xdr:rowOff>
    </xdr:to>
    <xdr:sp>
      <xdr:nvSpPr>
        <xdr:cNvPr id="114" name="Line 114"/>
        <xdr:cNvSpPr>
          <a:spLocks/>
        </xdr:cNvSpPr>
      </xdr:nvSpPr>
      <xdr:spPr>
        <a:xfrm flipV="1">
          <a:off x="34442400" y="8010525"/>
          <a:ext cx="333375" cy="381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342900</xdr:colOff>
      <xdr:row>8</xdr:row>
      <xdr:rowOff>400050</xdr:rowOff>
    </xdr:from>
    <xdr:to>
      <xdr:col>79</xdr:col>
      <xdr:colOff>28575</xdr:colOff>
      <xdr:row>9</xdr:row>
      <xdr:rowOff>276225</xdr:rowOff>
    </xdr:to>
    <xdr:sp>
      <xdr:nvSpPr>
        <xdr:cNvPr id="115" name="Line 115"/>
        <xdr:cNvSpPr>
          <a:spLocks/>
        </xdr:cNvSpPr>
      </xdr:nvSpPr>
      <xdr:spPr>
        <a:xfrm flipH="1" flipV="1">
          <a:off x="34880550" y="3143250"/>
          <a:ext cx="561975" cy="314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54</xdr:col>
      <xdr:colOff>28575</xdr:colOff>
      <xdr:row>21</xdr:row>
      <xdr:rowOff>209550</xdr:rowOff>
    </xdr:from>
    <xdr:to>
      <xdr:col>60</xdr:col>
      <xdr:colOff>333375</xdr:colOff>
      <xdr:row>24</xdr:row>
      <xdr:rowOff>133350</xdr:rowOff>
    </xdr:to>
    <xdr:sp>
      <xdr:nvSpPr>
        <xdr:cNvPr id="116" name="Line 116"/>
        <xdr:cNvSpPr>
          <a:spLocks/>
        </xdr:cNvSpPr>
      </xdr:nvSpPr>
      <xdr:spPr>
        <a:xfrm flipH="1">
          <a:off x="24488775" y="8648700"/>
          <a:ext cx="2933700" cy="1238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46</xdr:col>
      <xdr:colOff>390525</xdr:colOff>
      <xdr:row>23</xdr:row>
      <xdr:rowOff>247650</xdr:rowOff>
    </xdr:from>
    <xdr:to>
      <xdr:col>48</xdr:col>
      <xdr:colOff>419100</xdr:colOff>
      <xdr:row>29</xdr:row>
      <xdr:rowOff>428625</xdr:rowOff>
    </xdr:to>
    <xdr:sp>
      <xdr:nvSpPr>
        <xdr:cNvPr id="117" name="Line 117"/>
        <xdr:cNvSpPr>
          <a:spLocks/>
        </xdr:cNvSpPr>
      </xdr:nvSpPr>
      <xdr:spPr>
        <a:xfrm>
          <a:off x="21345525" y="9563100"/>
          <a:ext cx="904875" cy="2809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63</xdr:col>
      <xdr:colOff>95250</xdr:colOff>
      <xdr:row>42</xdr:row>
      <xdr:rowOff>247650</xdr:rowOff>
    </xdr:from>
    <xdr:to>
      <xdr:col>69</xdr:col>
      <xdr:colOff>47625</xdr:colOff>
      <xdr:row>45</xdr:row>
      <xdr:rowOff>333375</xdr:rowOff>
    </xdr:to>
    <xdr:sp>
      <xdr:nvSpPr>
        <xdr:cNvPr id="118" name="Line 118"/>
        <xdr:cNvSpPr>
          <a:spLocks/>
        </xdr:cNvSpPr>
      </xdr:nvSpPr>
      <xdr:spPr>
        <a:xfrm flipV="1">
          <a:off x="28498800" y="17887950"/>
          <a:ext cx="2581275" cy="1400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54</xdr:col>
      <xdr:colOff>57150</xdr:colOff>
      <xdr:row>31</xdr:row>
      <xdr:rowOff>66675</xdr:rowOff>
    </xdr:from>
    <xdr:to>
      <xdr:col>56</xdr:col>
      <xdr:colOff>228600</xdr:colOff>
      <xdr:row>34</xdr:row>
      <xdr:rowOff>409575</xdr:rowOff>
    </xdr:to>
    <xdr:sp>
      <xdr:nvSpPr>
        <xdr:cNvPr id="119" name="Line 119"/>
        <xdr:cNvSpPr>
          <a:spLocks/>
        </xdr:cNvSpPr>
      </xdr:nvSpPr>
      <xdr:spPr>
        <a:xfrm flipV="1">
          <a:off x="24517350" y="12887325"/>
          <a:ext cx="1047750" cy="1657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13</xdr:col>
      <xdr:colOff>114300</xdr:colOff>
      <xdr:row>29</xdr:row>
      <xdr:rowOff>47625</xdr:rowOff>
    </xdr:from>
    <xdr:to>
      <xdr:col>18</xdr:col>
      <xdr:colOff>76200</xdr:colOff>
      <xdr:row>36</xdr:row>
      <xdr:rowOff>114300</xdr:rowOff>
    </xdr:to>
    <xdr:sp>
      <xdr:nvSpPr>
        <xdr:cNvPr id="120" name="Line 120"/>
        <xdr:cNvSpPr>
          <a:spLocks/>
        </xdr:cNvSpPr>
      </xdr:nvSpPr>
      <xdr:spPr>
        <a:xfrm flipH="1">
          <a:off x="6610350" y="11991975"/>
          <a:ext cx="2152650" cy="3133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45</xdr:col>
      <xdr:colOff>114300</xdr:colOff>
      <xdr:row>33</xdr:row>
      <xdr:rowOff>409575</xdr:rowOff>
    </xdr:from>
    <xdr:to>
      <xdr:col>47</xdr:col>
      <xdr:colOff>409575</xdr:colOff>
      <xdr:row>36</xdr:row>
      <xdr:rowOff>200025</xdr:rowOff>
    </xdr:to>
    <xdr:sp>
      <xdr:nvSpPr>
        <xdr:cNvPr id="121" name="Line 121"/>
        <xdr:cNvSpPr>
          <a:spLocks/>
        </xdr:cNvSpPr>
      </xdr:nvSpPr>
      <xdr:spPr>
        <a:xfrm>
          <a:off x="20631150" y="14106525"/>
          <a:ext cx="1171575" cy="1104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428625</xdr:colOff>
      <xdr:row>41</xdr:row>
      <xdr:rowOff>171450</xdr:rowOff>
    </xdr:from>
    <xdr:to>
      <xdr:col>20</xdr:col>
      <xdr:colOff>409575</xdr:colOff>
      <xdr:row>46</xdr:row>
      <xdr:rowOff>361950</xdr:rowOff>
    </xdr:to>
    <xdr:sp>
      <xdr:nvSpPr>
        <xdr:cNvPr id="122" name="Line 122"/>
        <xdr:cNvSpPr>
          <a:spLocks/>
        </xdr:cNvSpPr>
      </xdr:nvSpPr>
      <xdr:spPr>
        <a:xfrm flipV="1">
          <a:off x="4733925" y="17373600"/>
          <a:ext cx="5238750" cy="23812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247650</xdr:colOff>
      <xdr:row>5</xdr:row>
      <xdr:rowOff>190500</xdr:rowOff>
    </xdr:from>
    <xdr:to>
      <xdr:col>78</xdr:col>
      <xdr:colOff>19050</xdr:colOff>
      <xdr:row>8</xdr:row>
      <xdr:rowOff>228600</xdr:rowOff>
    </xdr:to>
    <xdr:sp>
      <xdr:nvSpPr>
        <xdr:cNvPr id="123" name="Line 123"/>
        <xdr:cNvSpPr>
          <a:spLocks/>
        </xdr:cNvSpPr>
      </xdr:nvSpPr>
      <xdr:spPr>
        <a:xfrm flipV="1">
          <a:off x="34785300" y="1619250"/>
          <a:ext cx="209550" cy="1352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190500</xdr:colOff>
      <xdr:row>12</xdr:row>
      <xdr:rowOff>304800</xdr:rowOff>
    </xdr:from>
    <xdr:to>
      <xdr:col>78</xdr:col>
      <xdr:colOff>9525</xdr:colOff>
      <xdr:row>16</xdr:row>
      <xdr:rowOff>390525</xdr:rowOff>
    </xdr:to>
    <xdr:sp>
      <xdr:nvSpPr>
        <xdr:cNvPr id="124" name="Line 124"/>
        <xdr:cNvSpPr>
          <a:spLocks/>
        </xdr:cNvSpPr>
      </xdr:nvSpPr>
      <xdr:spPr>
        <a:xfrm flipV="1">
          <a:off x="34728150" y="4800600"/>
          <a:ext cx="257175" cy="1838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34</xdr:col>
      <xdr:colOff>0</xdr:colOff>
      <xdr:row>49</xdr:row>
      <xdr:rowOff>228600</xdr:rowOff>
    </xdr:from>
    <xdr:to>
      <xdr:col>51</xdr:col>
      <xdr:colOff>266700</xdr:colOff>
      <xdr:row>55</xdr:row>
      <xdr:rowOff>228600</xdr:rowOff>
    </xdr:to>
    <xdr:sp>
      <xdr:nvSpPr>
        <xdr:cNvPr id="125" name="Line 125"/>
        <xdr:cNvSpPr>
          <a:spLocks/>
        </xdr:cNvSpPr>
      </xdr:nvSpPr>
      <xdr:spPr>
        <a:xfrm>
          <a:off x="15697200" y="20935950"/>
          <a:ext cx="7715250" cy="2628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74</xdr:col>
      <xdr:colOff>219075</xdr:colOff>
      <xdr:row>12</xdr:row>
      <xdr:rowOff>85725</xdr:rowOff>
    </xdr:from>
    <xdr:to>
      <xdr:col>75</xdr:col>
      <xdr:colOff>209550</xdr:colOff>
      <xdr:row>18</xdr:row>
      <xdr:rowOff>400050</xdr:rowOff>
    </xdr:to>
    <xdr:sp>
      <xdr:nvSpPr>
        <xdr:cNvPr id="126" name="Line 126"/>
        <xdr:cNvSpPr>
          <a:spLocks/>
        </xdr:cNvSpPr>
      </xdr:nvSpPr>
      <xdr:spPr>
        <a:xfrm flipH="1">
          <a:off x="33442275" y="4581525"/>
          <a:ext cx="428625" cy="2943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47625</xdr:colOff>
      <xdr:row>24</xdr:row>
      <xdr:rowOff>390525</xdr:rowOff>
    </xdr:from>
    <xdr:to>
      <xdr:col>77</xdr:col>
      <xdr:colOff>190500</xdr:colOff>
      <xdr:row>28</xdr:row>
      <xdr:rowOff>304800</xdr:rowOff>
    </xdr:to>
    <xdr:sp>
      <xdr:nvSpPr>
        <xdr:cNvPr id="127" name="Line 127"/>
        <xdr:cNvSpPr>
          <a:spLocks/>
        </xdr:cNvSpPr>
      </xdr:nvSpPr>
      <xdr:spPr>
        <a:xfrm flipH="1" flipV="1">
          <a:off x="34585275" y="10144125"/>
          <a:ext cx="142875" cy="1666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238125</xdr:colOff>
      <xdr:row>24</xdr:row>
      <xdr:rowOff>0</xdr:rowOff>
    </xdr:from>
    <xdr:to>
      <xdr:col>34</xdr:col>
      <xdr:colOff>85725</xdr:colOff>
      <xdr:row>28</xdr:row>
      <xdr:rowOff>361950</xdr:rowOff>
    </xdr:to>
    <xdr:sp>
      <xdr:nvSpPr>
        <xdr:cNvPr id="128" name="Line 128"/>
        <xdr:cNvSpPr>
          <a:spLocks/>
        </xdr:cNvSpPr>
      </xdr:nvSpPr>
      <xdr:spPr>
        <a:xfrm flipH="1">
          <a:off x="8924925" y="9753600"/>
          <a:ext cx="6858000" cy="2114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61</xdr:col>
      <xdr:colOff>85725</xdr:colOff>
      <xdr:row>21</xdr:row>
      <xdr:rowOff>238125</xdr:rowOff>
    </xdr:from>
    <xdr:to>
      <xdr:col>66</xdr:col>
      <xdr:colOff>9525</xdr:colOff>
      <xdr:row>25</xdr:row>
      <xdr:rowOff>47625</xdr:rowOff>
    </xdr:to>
    <xdr:sp>
      <xdr:nvSpPr>
        <xdr:cNvPr id="129" name="Line 129"/>
        <xdr:cNvSpPr>
          <a:spLocks/>
        </xdr:cNvSpPr>
      </xdr:nvSpPr>
      <xdr:spPr>
        <a:xfrm flipH="1" flipV="1">
          <a:off x="27612975" y="8677275"/>
          <a:ext cx="2114550" cy="1562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33</xdr:col>
      <xdr:colOff>19050</xdr:colOff>
      <xdr:row>40</xdr:row>
      <xdr:rowOff>276225</xdr:rowOff>
    </xdr:from>
    <xdr:to>
      <xdr:col>47</xdr:col>
      <xdr:colOff>361950</xdr:colOff>
      <xdr:row>44</xdr:row>
      <xdr:rowOff>409575</xdr:rowOff>
    </xdr:to>
    <xdr:sp>
      <xdr:nvSpPr>
        <xdr:cNvPr id="130" name="Line 130"/>
        <xdr:cNvSpPr>
          <a:spLocks/>
        </xdr:cNvSpPr>
      </xdr:nvSpPr>
      <xdr:spPr>
        <a:xfrm flipH="1" flipV="1">
          <a:off x="15278100" y="17040225"/>
          <a:ext cx="6477000" cy="1885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133350</xdr:colOff>
      <xdr:row>35</xdr:row>
      <xdr:rowOff>38100</xdr:rowOff>
    </xdr:from>
    <xdr:to>
      <xdr:col>5</xdr:col>
      <xdr:colOff>409575</xdr:colOff>
      <xdr:row>48</xdr:row>
      <xdr:rowOff>133350</xdr:rowOff>
    </xdr:to>
    <xdr:sp>
      <xdr:nvSpPr>
        <xdr:cNvPr id="131" name="Line 131"/>
        <xdr:cNvSpPr>
          <a:spLocks/>
        </xdr:cNvSpPr>
      </xdr:nvSpPr>
      <xdr:spPr>
        <a:xfrm>
          <a:off x="1809750" y="14611350"/>
          <a:ext cx="1590675" cy="5791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70</xdr:col>
      <xdr:colOff>85725</xdr:colOff>
      <xdr:row>19</xdr:row>
      <xdr:rowOff>190500</xdr:rowOff>
    </xdr:from>
    <xdr:to>
      <xdr:col>74</xdr:col>
      <xdr:colOff>142875</xdr:colOff>
      <xdr:row>26</xdr:row>
      <xdr:rowOff>361950</xdr:rowOff>
    </xdr:to>
    <xdr:sp>
      <xdr:nvSpPr>
        <xdr:cNvPr id="132" name="Line 132"/>
        <xdr:cNvSpPr>
          <a:spLocks/>
        </xdr:cNvSpPr>
      </xdr:nvSpPr>
      <xdr:spPr>
        <a:xfrm flipH="1">
          <a:off x="31556325" y="7753350"/>
          <a:ext cx="1809750" cy="3238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79</xdr:col>
      <xdr:colOff>161925</xdr:colOff>
      <xdr:row>10</xdr:row>
      <xdr:rowOff>9525</xdr:rowOff>
    </xdr:from>
    <xdr:to>
      <xdr:col>79</xdr:col>
      <xdr:colOff>238125</xdr:colOff>
      <xdr:row>10</xdr:row>
      <xdr:rowOff>333375</xdr:rowOff>
    </xdr:to>
    <xdr:sp>
      <xdr:nvSpPr>
        <xdr:cNvPr id="133" name="Line 133"/>
        <xdr:cNvSpPr>
          <a:spLocks/>
        </xdr:cNvSpPr>
      </xdr:nvSpPr>
      <xdr:spPr>
        <a:xfrm flipH="1" flipV="1">
          <a:off x="35575875" y="3629025"/>
          <a:ext cx="76200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75</xdr:col>
      <xdr:colOff>428625</xdr:colOff>
      <xdr:row>29</xdr:row>
      <xdr:rowOff>114300</xdr:rowOff>
    </xdr:from>
    <xdr:to>
      <xdr:col>77</xdr:col>
      <xdr:colOff>161925</xdr:colOff>
      <xdr:row>34</xdr:row>
      <xdr:rowOff>123825</xdr:rowOff>
    </xdr:to>
    <xdr:sp>
      <xdr:nvSpPr>
        <xdr:cNvPr id="134" name="Line 134"/>
        <xdr:cNvSpPr>
          <a:spLocks/>
        </xdr:cNvSpPr>
      </xdr:nvSpPr>
      <xdr:spPr>
        <a:xfrm flipV="1">
          <a:off x="34089975" y="12058650"/>
          <a:ext cx="609600" cy="2200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34</xdr:col>
      <xdr:colOff>238125</xdr:colOff>
      <xdr:row>24</xdr:row>
      <xdr:rowOff>76200</xdr:rowOff>
    </xdr:from>
    <xdr:to>
      <xdr:col>36</xdr:col>
      <xdr:colOff>304800</xdr:colOff>
      <xdr:row>28</xdr:row>
      <xdr:rowOff>200025</xdr:rowOff>
    </xdr:to>
    <xdr:sp>
      <xdr:nvSpPr>
        <xdr:cNvPr id="135" name="Line 135"/>
        <xdr:cNvSpPr>
          <a:spLocks/>
        </xdr:cNvSpPr>
      </xdr:nvSpPr>
      <xdr:spPr>
        <a:xfrm flipH="1" flipV="1">
          <a:off x="15935325" y="9829800"/>
          <a:ext cx="942975" cy="1876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57</xdr:col>
      <xdr:colOff>209550</xdr:colOff>
      <xdr:row>35</xdr:row>
      <xdr:rowOff>361950</xdr:rowOff>
    </xdr:from>
    <xdr:to>
      <xdr:col>64</xdr:col>
      <xdr:colOff>219075</xdr:colOff>
      <xdr:row>42</xdr:row>
      <xdr:rowOff>247650</xdr:rowOff>
    </xdr:to>
    <xdr:sp>
      <xdr:nvSpPr>
        <xdr:cNvPr id="136" name="Line 136"/>
        <xdr:cNvSpPr>
          <a:spLocks/>
        </xdr:cNvSpPr>
      </xdr:nvSpPr>
      <xdr:spPr>
        <a:xfrm flipH="1">
          <a:off x="25984200" y="14935200"/>
          <a:ext cx="3076575" cy="29527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52</xdr:col>
      <xdr:colOff>28575</xdr:colOff>
      <xdr:row>50</xdr:row>
      <xdr:rowOff>171450</xdr:rowOff>
    </xdr:from>
    <xdr:to>
      <xdr:col>62</xdr:col>
      <xdr:colOff>361950</xdr:colOff>
      <xdr:row>55</xdr:row>
      <xdr:rowOff>209550</xdr:rowOff>
    </xdr:to>
    <xdr:sp>
      <xdr:nvSpPr>
        <xdr:cNvPr id="137" name="Line 137"/>
        <xdr:cNvSpPr>
          <a:spLocks/>
        </xdr:cNvSpPr>
      </xdr:nvSpPr>
      <xdr:spPr>
        <a:xfrm flipV="1">
          <a:off x="23612475" y="21316950"/>
          <a:ext cx="4714875" cy="2228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85725</xdr:colOff>
      <xdr:row>41</xdr:row>
      <xdr:rowOff>247650</xdr:rowOff>
    </xdr:from>
    <xdr:to>
      <xdr:col>24</xdr:col>
      <xdr:colOff>114300</xdr:colOff>
      <xdr:row>56</xdr:row>
      <xdr:rowOff>266700</xdr:rowOff>
    </xdr:to>
    <xdr:sp>
      <xdr:nvSpPr>
        <xdr:cNvPr id="138" name="Line 138"/>
        <xdr:cNvSpPr>
          <a:spLocks/>
        </xdr:cNvSpPr>
      </xdr:nvSpPr>
      <xdr:spPr>
        <a:xfrm>
          <a:off x="10086975" y="17449800"/>
          <a:ext cx="1343025" cy="6591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74</xdr:col>
      <xdr:colOff>371475</xdr:colOff>
      <xdr:row>8</xdr:row>
      <xdr:rowOff>123825</xdr:rowOff>
    </xdr:from>
    <xdr:to>
      <xdr:col>75</xdr:col>
      <xdr:colOff>200025</xdr:colOff>
      <xdr:row>11</xdr:row>
      <xdr:rowOff>285750</xdr:rowOff>
    </xdr:to>
    <xdr:sp>
      <xdr:nvSpPr>
        <xdr:cNvPr id="139" name="Line 139"/>
        <xdr:cNvSpPr>
          <a:spLocks/>
        </xdr:cNvSpPr>
      </xdr:nvSpPr>
      <xdr:spPr>
        <a:xfrm>
          <a:off x="33594675" y="2867025"/>
          <a:ext cx="266700" cy="1476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76</xdr:col>
      <xdr:colOff>285750</xdr:colOff>
      <xdr:row>21</xdr:row>
      <xdr:rowOff>161925</xdr:rowOff>
    </xdr:from>
    <xdr:to>
      <xdr:col>77</xdr:col>
      <xdr:colOff>19050</xdr:colOff>
      <xdr:row>24</xdr:row>
      <xdr:rowOff>133350</xdr:rowOff>
    </xdr:to>
    <xdr:sp>
      <xdr:nvSpPr>
        <xdr:cNvPr id="140" name="Line 140"/>
        <xdr:cNvSpPr>
          <a:spLocks/>
        </xdr:cNvSpPr>
      </xdr:nvSpPr>
      <xdr:spPr>
        <a:xfrm flipH="1" flipV="1">
          <a:off x="34385250" y="8601075"/>
          <a:ext cx="171450" cy="1285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228600</xdr:rowOff>
    </xdr:from>
    <xdr:to>
      <xdr:col>2</xdr:col>
      <xdr:colOff>85725</xdr:colOff>
      <xdr:row>34</xdr:row>
      <xdr:rowOff>238125</xdr:rowOff>
    </xdr:to>
    <xdr:sp>
      <xdr:nvSpPr>
        <xdr:cNvPr id="141" name="Line 141"/>
        <xdr:cNvSpPr>
          <a:spLocks/>
        </xdr:cNvSpPr>
      </xdr:nvSpPr>
      <xdr:spPr>
        <a:xfrm>
          <a:off x="1724025" y="12611100"/>
          <a:ext cx="47625" cy="1762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66</xdr:col>
      <xdr:colOff>209550</xdr:colOff>
      <xdr:row>25</xdr:row>
      <xdr:rowOff>161925</xdr:rowOff>
    </xdr:from>
    <xdr:to>
      <xdr:col>69</xdr:col>
      <xdr:colOff>361950</xdr:colOff>
      <xdr:row>26</xdr:row>
      <xdr:rowOff>409575</xdr:rowOff>
    </xdr:to>
    <xdr:sp>
      <xdr:nvSpPr>
        <xdr:cNvPr id="142" name="Line 142"/>
        <xdr:cNvSpPr>
          <a:spLocks/>
        </xdr:cNvSpPr>
      </xdr:nvSpPr>
      <xdr:spPr>
        <a:xfrm flipH="1" flipV="1">
          <a:off x="29927550" y="10353675"/>
          <a:ext cx="1466850" cy="685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28575</xdr:colOff>
      <xdr:row>23</xdr:row>
      <xdr:rowOff>152400</xdr:rowOff>
    </xdr:from>
    <xdr:to>
      <xdr:col>53</xdr:col>
      <xdr:colOff>266700</xdr:colOff>
      <xdr:row>24</xdr:row>
      <xdr:rowOff>161925</xdr:rowOff>
    </xdr:to>
    <xdr:sp>
      <xdr:nvSpPr>
        <xdr:cNvPr id="143" name="Line 143"/>
        <xdr:cNvSpPr>
          <a:spLocks/>
        </xdr:cNvSpPr>
      </xdr:nvSpPr>
      <xdr:spPr>
        <a:xfrm flipH="1" flipV="1">
          <a:off x="21421725" y="9467850"/>
          <a:ext cx="2867025" cy="447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32</xdr:col>
      <xdr:colOff>152400</xdr:colOff>
      <xdr:row>28</xdr:row>
      <xdr:rowOff>409575</xdr:rowOff>
    </xdr:from>
    <xdr:to>
      <xdr:col>36</xdr:col>
      <xdr:colOff>304800</xdr:colOff>
      <xdr:row>37</xdr:row>
      <xdr:rowOff>133350</xdr:rowOff>
    </xdr:to>
    <xdr:sp>
      <xdr:nvSpPr>
        <xdr:cNvPr id="144" name="Line 144"/>
        <xdr:cNvSpPr>
          <a:spLocks/>
        </xdr:cNvSpPr>
      </xdr:nvSpPr>
      <xdr:spPr>
        <a:xfrm flipV="1">
          <a:off x="14973300" y="11915775"/>
          <a:ext cx="1905000" cy="3667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24</xdr:row>
      <xdr:rowOff>314325</xdr:rowOff>
    </xdr:from>
    <xdr:to>
      <xdr:col>2</xdr:col>
      <xdr:colOff>114300</xdr:colOff>
      <xdr:row>25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1562100" y="10067925"/>
          <a:ext cx="228600" cy="247650"/>
        </a:xfrm>
        <a:prstGeom prst="ellipse">
          <a:avLst/>
        </a:prstGeom>
        <a:solidFill>
          <a:srgbClr val="FFCC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19050</xdr:colOff>
      <xdr:row>25</xdr:row>
      <xdr:rowOff>28575</xdr:rowOff>
    </xdr:from>
    <xdr:ext cx="314325" cy="276225"/>
    <xdr:sp>
      <xdr:nvSpPr>
        <xdr:cNvPr id="2" name="TextBox 2"/>
        <xdr:cNvSpPr txBox="1">
          <a:spLocks noChangeArrowheads="1"/>
        </xdr:cNvSpPr>
      </xdr:nvSpPr>
      <xdr:spPr>
        <a:xfrm>
          <a:off x="1695450" y="10220325"/>
          <a:ext cx="3143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</a:t>
          </a:r>
        </a:p>
      </xdr:txBody>
    </xdr:sp>
    <xdr:clientData/>
  </xdr:oneCellAnchor>
  <xdr:twoCellAnchor>
    <xdr:from>
      <xdr:col>1</xdr:col>
      <xdr:colOff>723900</xdr:colOff>
      <xdr:row>14</xdr:row>
      <xdr:rowOff>314325</xdr:rowOff>
    </xdr:from>
    <xdr:to>
      <xdr:col>2</xdr:col>
      <xdr:colOff>114300</xdr:colOff>
      <xdr:row>15</xdr:row>
      <xdr:rowOff>123825</xdr:rowOff>
    </xdr:to>
    <xdr:sp>
      <xdr:nvSpPr>
        <xdr:cNvPr id="3" name="Oval 3"/>
        <xdr:cNvSpPr>
          <a:spLocks/>
        </xdr:cNvSpPr>
      </xdr:nvSpPr>
      <xdr:spPr>
        <a:xfrm>
          <a:off x="1562100" y="5686425"/>
          <a:ext cx="228600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19050</xdr:colOff>
      <xdr:row>15</xdr:row>
      <xdr:rowOff>28575</xdr:rowOff>
    </xdr:from>
    <xdr:ext cx="314325" cy="276225"/>
    <xdr:sp>
      <xdr:nvSpPr>
        <xdr:cNvPr id="4" name="TextBox 4"/>
        <xdr:cNvSpPr txBox="1">
          <a:spLocks noChangeArrowheads="1"/>
        </xdr:cNvSpPr>
      </xdr:nvSpPr>
      <xdr:spPr>
        <a:xfrm>
          <a:off x="1695450" y="5838825"/>
          <a:ext cx="3143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</a:t>
          </a:r>
        </a:p>
      </xdr:txBody>
    </xdr:sp>
    <xdr:clientData/>
  </xdr:oneCellAnchor>
  <xdr:twoCellAnchor>
    <xdr:from>
      <xdr:col>11</xdr:col>
      <xdr:colOff>333375</xdr:colOff>
      <xdr:row>34</xdr:row>
      <xdr:rowOff>314325</xdr:rowOff>
    </xdr:from>
    <xdr:to>
      <xdr:col>12</xdr:col>
      <xdr:colOff>114300</xdr:colOff>
      <xdr:row>35</xdr:row>
      <xdr:rowOff>123825</xdr:rowOff>
    </xdr:to>
    <xdr:sp>
      <xdr:nvSpPr>
        <xdr:cNvPr id="5" name="Oval 5"/>
        <xdr:cNvSpPr>
          <a:spLocks/>
        </xdr:cNvSpPr>
      </xdr:nvSpPr>
      <xdr:spPr>
        <a:xfrm>
          <a:off x="5953125" y="144494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19050</xdr:colOff>
      <xdr:row>35</xdr:row>
      <xdr:rowOff>28575</xdr:rowOff>
    </xdr:from>
    <xdr:ext cx="314325" cy="276225"/>
    <xdr:sp>
      <xdr:nvSpPr>
        <xdr:cNvPr id="6" name="TextBox 6"/>
        <xdr:cNvSpPr txBox="1">
          <a:spLocks noChangeArrowheads="1"/>
        </xdr:cNvSpPr>
      </xdr:nvSpPr>
      <xdr:spPr>
        <a:xfrm>
          <a:off x="6076950" y="14601825"/>
          <a:ext cx="3143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</a:t>
          </a:r>
        </a:p>
      </xdr:txBody>
    </xdr:sp>
    <xdr:clientData/>
  </xdr:oneCellAnchor>
  <xdr:twoCellAnchor>
    <xdr:from>
      <xdr:col>11</xdr:col>
      <xdr:colOff>333375</xdr:colOff>
      <xdr:row>24</xdr:row>
      <xdr:rowOff>314325</xdr:rowOff>
    </xdr:from>
    <xdr:to>
      <xdr:col>12</xdr:col>
      <xdr:colOff>114300</xdr:colOff>
      <xdr:row>25</xdr:row>
      <xdr:rowOff>123825</xdr:rowOff>
    </xdr:to>
    <xdr:sp>
      <xdr:nvSpPr>
        <xdr:cNvPr id="7" name="Oval 7"/>
        <xdr:cNvSpPr>
          <a:spLocks/>
        </xdr:cNvSpPr>
      </xdr:nvSpPr>
      <xdr:spPr>
        <a:xfrm>
          <a:off x="5953125" y="10067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19050</xdr:colOff>
      <xdr:row>25</xdr:row>
      <xdr:rowOff>28575</xdr:rowOff>
    </xdr:from>
    <xdr:ext cx="314325" cy="276225"/>
    <xdr:sp>
      <xdr:nvSpPr>
        <xdr:cNvPr id="8" name="TextBox 8"/>
        <xdr:cNvSpPr txBox="1">
          <a:spLocks noChangeArrowheads="1"/>
        </xdr:cNvSpPr>
      </xdr:nvSpPr>
      <xdr:spPr>
        <a:xfrm>
          <a:off x="6076950" y="10220325"/>
          <a:ext cx="3143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</a:t>
          </a:r>
        </a:p>
      </xdr:txBody>
    </xdr:sp>
    <xdr:clientData/>
  </xdr:oneCellAnchor>
  <xdr:twoCellAnchor>
    <xdr:from>
      <xdr:col>11</xdr:col>
      <xdr:colOff>333375</xdr:colOff>
      <xdr:row>14</xdr:row>
      <xdr:rowOff>314325</xdr:rowOff>
    </xdr:from>
    <xdr:to>
      <xdr:col>12</xdr:col>
      <xdr:colOff>114300</xdr:colOff>
      <xdr:row>15</xdr:row>
      <xdr:rowOff>123825</xdr:rowOff>
    </xdr:to>
    <xdr:sp>
      <xdr:nvSpPr>
        <xdr:cNvPr id="9" name="Oval 9"/>
        <xdr:cNvSpPr>
          <a:spLocks/>
        </xdr:cNvSpPr>
      </xdr:nvSpPr>
      <xdr:spPr>
        <a:xfrm>
          <a:off x="5953125" y="56864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19050</xdr:colOff>
      <xdr:row>15</xdr:row>
      <xdr:rowOff>28575</xdr:rowOff>
    </xdr:from>
    <xdr:ext cx="314325" cy="276225"/>
    <xdr:sp>
      <xdr:nvSpPr>
        <xdr:cNvPr id="10" name="TextBox 10"/>
        <xdr:cNvSpPr txBox="1">
          <a:spLocks noChangeArrowheads="1"/>
        </xdr:cNvSpPr>
      </xdr:nvSpPr>
      <xdr:spPr>
        <a:xfrm>
          <a:off x="6076950" y="5838825"/>
          <a:ext cx="3143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x5</a:t>
          </a:r>
        </a:p>
      </xdr:txBody>
    </xdr:sp>
    <xdr:clientData/>
  </xdr:oneCellAnchor>
  <xdr:twoCellAnchor>
    <xdr:from>
      <xdr:col>11</xdr:col>
      <xdr:colOff>333375</xdr:colOff>
      <xdr:row>4</xdr:row>
      <xdr:rowOff>314325</xdr:rowOff>
    </xdr:from>
    <xdr:to>
      <xdr:col>12</xdr:col>
      <xdr:colOff>114300</xdr:colOff>
      <xdr:row>5</xdr:row>
      <xdr:rowOff>123825</xdr:rowOff>
    </xdr:to>
    <xdr:sp>
      <xdr:nvSpPr>
        <xdr:cNvPr id="11" name="Oval 11"/>
        <xdr:cNvSpPr>
          <a:spLocks/>
        </xdr:cNvSpPr>
      </xdr:nvSpPr>
      <xdr:spPr>
        <a:xfrm>
          <a:off x="5953125" y="1304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19050</xdr:colOff>
      <xdr:row>5</xdr:row>
      <xdr:rowOff>28575</xdr:rowOff>
    </xdr:from>
    <xdr:ext cx="314325" cy="276225"/>
    <xdr:sp>
      <xdr:nvSpPr>
        <xdr:cNvPr id="12" name="TextBox 12"/>
        <xdr:cNvSpPr txBox="1">
          <a:spLocks noChangeArrowheads="1"/>
        </xdr:cNvSpPr>
      </xdr:nvSpPr>
      <xdr:spPr>
        <a:xfrm>
          <a:off x="6076950" y="1457325"/>
          <a:ext cx="3143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x6</a:t>
          </a:r>
        </a:p>
      </xdr:txBody>
    </xdr:sp>
    <xdr:clientData/>
  </xdr:oneCellAnchor>
  <xdr:twoCellAnchor>
    <xdr:from>
      <xdr:col>21</xdr:col>
      <xdr:colOff>333375</xdr:colOff>
      <xdr:row>34</xdr:row>
      <xdr:rowOff>314325</xdr:rowOff>
    </xdr:from>
    <xdr:to>
      <xdr:col>22</xdr:col>
      <xdr:colOff>114300</xdr:colOff>
      <xdr:row>35</xdr:row>
      <xdr:rowOff>123825</xdr:rowOff>
    </xdr:to>
    <xdr:sp>
      <xdr:nvSpPr>
        <xdr:cNvPr id="13" name="Oval 13"/>
        <xdr:cNvSpPr>
          <a:spLocks/>
        </xdr:cNvSpPr>
      </xdr:nvSpPr>
      <xdr:spPr>
        <a:xfrm>
          <a:off x="10334625" y="144494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22</xdr:col>
      <xdr:colOff>19050</xdr:colOff>
      <xdr:row>35</xdr:row>
      <xdr:rowOff>28575</xdr:rowOff>
    </xdr:from>
    <xdr:ext cx="314325" cy="276225"/>
    <xdr:sp>
      <xdr:nvSpPr>
        <xdr:cNvPr id="14" name="TextBox 14"/>
        <xdr:cNvSpPr txBox="1">
          <a:spLocks noChangeArrowheads="1"/>
        </xdr:cNvSpPr>
      </xdr:nvSpPr>
      <xdr:spPr>
        <a:xfrm>
          <a:off x="10458450" y="14601825"/>
          <a:ext cx="3143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x7</a:t>
          </a:r>
        </a:p>
      </xdr:txBody>
    </xdr:sp>
    <xdr:clientData/>
  </xdr:oneCellAnchor>
  <xdr:twoCellAnchor>
    <xdr:from>
      <xdr:col>21</xdr:col>
      <xdr:colOff>333375</xdr:colOff>
      <xdr:row>24</xdr:row>
      <xdr:rowOff>314325</xdr:rowOff>
    </xdr:from>
    <xdr:to>
      <xdr:col>22</xdr:col>
      <xdr:colOff>114300</xdr:colOff>
      <xdr:row>25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10334625" y="10067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22</xdr:col>
      <xdr:colOff>19050</xdr:colOff>
      <xdr:row>25</xdr:row>
      <xdr:rowOff>28575</xdr:rowOff>
    </xdr:from>
    <xdr:ext cx="314325" cy="276225"/>
    <xdr:sp>
      <xdr:nvSpPr>
        <xdr:cNvPr id="16" name="TextBox 16"/>
        <xdr:cNvSpPr txBox="1">
          <a:spLocks noChangeArrowheads="1"/>
        </xdr:cNvSpPr>
      </xdr:nvSpPr>
      <xdr:spPr>
        <a:xfrm>
          <a:off x="10458450" y="10220325"/>
          <a:ext cx="3143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x8</a:t>
          </a:r>
        </a:p>
      </xdr:txBody>
    </xdr:sp>
    <xdr:clientData/>
  </xdr:oneCellAnchor>
  <xdr:twoCellAnchor>
    <xdr:from>
      <xdr:col>21</xdr:col>
      <xdr:colOff>333375</xdr:colOff>
      <xdr:row>14</xdr:row>
      <xdr:rowOff>314325</xdr:rowOff>
    </xdr:from>
    <xdr:to>
      <xdr:col>22</xdr:col>
      <xdr:colOff>114300</xdr:colOff>
      <xdr:row>15</xdr:row>
      <xdr:rowOff>123825</xdr:rowOff>
    </xdr:to>
    <xdr:sp>
      <xdr:nvSpPr>
        <xdr:cNvPr id="17" name="Oval 17"/>
        <xdr:cNvSpPr>
          <a:spLocks/>
        </xdr:cNvSpPr>
      </xdr:nvSpPr>
      <xdr:spPr>
        <a:xfrm>
          <a:off x="10334625" y="56864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22</xdr:col>
      <xdr:colOff>19050</xdr:colOff>
      <xdr:row>15</xdr:row>
      <xdr:rowOff>28575</xdr:rowOff>
    </xdr:from>
    <xdr:ext cx="314325" cy="276225"/>
    <xdr:sp>
      <xdr:nvSpPr>
        <xdr:cNvPr id="18" name="TextBox 18"/>
        <xdr:cNvSpPr txBox="1">
          <a:spLocks noChangeArrowheads="1"/>
        </xdr:cNvSpPr>
      </xdr:nvSpPr>
      <xdr:spPr>
        <a:xfrm>
          <a:off x="10458450" y="5838825"/>
          <a:ext cx="3143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x9</a:t>
          </a:r>
        </a:p>
      </xdr:txBody>
    </xdr:sp>
    <xdr:clientData/>
  </xdr:oneCellAnchor>
  <xdr:twoCellAnchor>
    <xdr:from>
      <xdr:col>21</xdr:col>
      <xdr:colOff>333375</xdr:colOff>
      <xdr:row>4</xdr:row>
      <xdr:rowOff>314325</xdr:rowOff>
    </xdr:from>
    <xdr:to>
      <xdr:col>22</xdr:col>
      <xdr:colOff>114300</xdr:colOff>
      <xdr:row>5</xdr:row>
      <xdr:rowOff>123825</xdr:rowOff>
    </xdr:to>
    <xdr:sp>
      <xdr:nvSpPr>
        <xdr:cNvPr id="19" name="Oval 19"/>
        <xdr:cNvSpPr>
          <a:spLocks/>
        </xdr:cNvSpPr>
      </xdr:nvSpPr>
      <xdr:spPr>
        <a:xfrm>
          <a:off x="10334625" y="1304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22</xdr:col>
      <xdr:colOff>19050</xdr:colOff>
      <xdr:row>5</xdr:row>
      <xdr:rowOff>28575</xdr:rowOff>
    </xdr:from>
    <xdr:ext cx="409575" cy="276225"/>
    <xdr:sp>
      <xdr:nvSpPr>
        <xdr:cNvPr id="20" name="TextBox 20"/>
        <xdr:cNvSpPr txBox="1">
          <a:spLocks noChangeArrowheads="1"/>
        </xdr:cNvSpPr>
      </xdr:nvSpPr>
      <xdr:spPr>
        <a:xfrm>
          <a:off x="10458450" y="1457325"/>
          <a:ext cx="4095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x10</a:t>
          </a:r>
        </a:p>
      </xdr:txBody>
    </xdr:sp>
    <xdr:clientData/>
  </xdr:oneCellAnchor>
  <xdr:twoCellAnchor>
    <xdr:from>
      <xdr:col>31</xdr:col>
      <xdr:colOff>333375</xdr:colOff>
      <xdr:row>24</xdr:row>
      <xdr:rowOff>314325</xdr:rowOff>
    </xdr:from>
    <xdr:to>
      <xdr:col>32</xdr:col>
      <xdr:colOff>114300</xdr:colOff>
      <xdr:row>25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14716125" y="10067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32</xdr:col>
      <xdr:colOff>19050</xdr:colOff>
      <xdr:row>25</xdr:row>
      <xdr:rowOff>28575</xdr:rowOff>
    </xdr:from>
    <xdr:ext cx="409575" cy="276225"/>
    <xdr:sp>
      <xdr:nvSpPr>
        <xdr:cNvPr id="22" name="TextBox 22"/>
        <xdr:cNvSpPr txBox="1">
          <a:spLocks noChangeArrowheads="1"/>
        </xdr:cNvSpPr>
      </xdr:nvSpPr>
      <xdr:spPr>
        <a:xfrm>
          <a:off x="14839950" y="10220325"/>
          <a:ext cx="4095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x11</a:t>
          </a:r>
        </a:p>
      </xdr:txBody>
    </xdr:sp>
    <xdr:clientData/>
  </xdr:oneCellAnchor>
  <xdr:twoCellAnchor>
    <xdr:from>
      <xdr:col>31</xdr:col>
      <xdr:colOff>333375</xdr:colOff>
      <xdr:row>14</xdr:row>
      <xdr:rowOff>314325</xdr:rowOff>
    </xdr:from>
    <xdr:to>
      <xdr:col>32</xdr:col>
      <xdr:colOff>114300</xdr:colOff>
      <xdr:row>15</xdr:row>
      <xdr:rowOff>123825</xdr:rowOff>
    </xdr:to>
    <xdr:sp>
      <xdr:nvSpPr>
        <xdr:cNvPr id="23" name="Oval 23"/>
        <xdr:cNvSpPr>
          <a:spLocks/>
        </xdr:cNvSpPr>
      </xdr:nvSpPr>
      <xdr:spPr>
        <a:xfrm>
          <a:off x="14716125" y="56864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32</xdr:col>
      <xdr:colOff>19050</xdr:colOff>
      <xdr:row>15</xdr:row>
      <xdr:rowOff>28575</xdr:rowOff>
    </xdr:from>
    <xdr:ext cx="409575" cy="276225"/>
    <xdr:sp>
      <xdr:nvSpPr>
        <xdr:cNvPr id="24" name="TextBox 24"/>
        <xdr:cNvSpPr txBox="1">
          <a:spLocks noChangeArrowheads="1"/>
        </xdr:cNvSpPr>
      </xdr:nvSpPr>
      <xdr:spPr>
        <a:xfrm>
          <a:off x="14839950" y="5838825"/>
          <a:ext cx="4095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x12</a:t>
          </a:r>
        </a:p>
      </xdr:txBody>
    </xdr:sp>
    <xdr:clientData/>
  </xdr:oneCellAnchor>
  <xdr:twoCellAnchor>
    <xdr:from>
      <xdr:col>2</xdr:col>
      <xdr:colOff>0</xdr:colOff>
      <xdr:row>15</xdr:row>
      <xdr:rowOff>123825</xdr:rowOff>
    </xdr:from>
    <xdr:to>
      <xdr:col>2</xdr:col>
      <xdr:colOff>0</xdr:colOff>
      <xdr:row>24</xdr:row>
      <xdr:rowOff>314325</xdr:rowOff>
    </xdr:to>
    <xdr:sp>
      <xdr:nvSpPr>
        <xdr:cNvPr id="25" name="Line 25"/>
        <xdr:cNvSpPr>
          <a:spLocks/>
        </xdr:cNvSpPr>
      </xdr:nvSpPr>
      <xdr:spPr>
        <a:xfrm flipV="1">
          <a:off x="1676400" y="5934075"/>
          <a:ext cx="0" cy="413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114300</xdr:colOff>
      <xdr:row>15</xdr:row>
      <xdr:rowOff>0</xdr:rowOff>
    </xdr:from>
    <xdr:to>
      <xdr:col>11</xdr:col>
      <xdr:colOff>333375</xdr:colOff>
      <xdr:row>15</xdr:row>
      <xdr:rowOff>0</xdr:rowOff>
    </xdr:to>
    <xdr:sp>
      <xdr:nvSpPr>
        <xdr:cNvPr id="26" name="Line 26"/>
        <xdr:cNvSpPr>
          <a:spLocks/>
        </xdr:cNvSpPr>
      </xdr:nvSpPr>
      <xdr:spPr>
        <a:xfrm>
          <a:off x="1790700" y="5810250"/>
          <a:ext cx="4162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123825</xdr:rowOff>
    </xdr:from>
    <xdr:to>
      <xdr:col>12</xdr:col>
      <xdr:colOff>0</xdr:colOff>
      <xdr:row>34</xdr:row>
      <xdr:rowOff>314325</xdr:rowOff>
    </xdr:to>
    <xdr:sp>
      <xdr:nvSpPr>
        <xdr:cNvPr id="27" name="Line 27"/>
        <xdr:cNvSpPr>
          <a:spLocks/>
        </xdr:cNvSpPr>
      </xdr:nvSpPr>
      <xdr:spPr>
        <a:xfrm flipV="1">
          <a:off x="6057900" y="1552575"/>
          <a:ext cx="0" cy="12896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114300</xdr:colOff>
      <xdr:row>25</xdr:row>
      <xdr:rowOff>0</xdr:rowOff>
    </xdr:from>
    <xdr:to>
      <xdr:col>21</xdr:col>
      <xdr:colOff>333375</xdr:colOff>
      <xdr:row>25</xdr:row>
      <xdr:rowOff>0</xdr:rowOff>
    </xdr:to>
    <xdr:sp>
      <xdr:nvSpPr>
        <xdr:cNvPr id="28" name="Line 28"/>
        <xdr:cNvSpPr>
          <a:spLocks/>
        </xdr:cNvSpPr>
      </xdr:nvSpPr>
      <xdr:spPr>
        <a:xfrm>
          <a:off x="6172200" y="10191750"/>
          <a:ext cx="4162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123825</xdr:rowOff>
    </xdr:from>
    <xdr:to>
      <xdr:col>12</xdr:col>
      <xdr:colOff>0</xdr:colOff>
      <xdr:row>24</xdr:row>
      <xdr:rowOff>314325</xdr:rowOff>
    </xdr:to>
    <xdr:sp>
      <xdr:nvSpPr>
        <xdr:cNvPr id="29" name="Line 29"/>
        <xdr:cNvSpPr>
          <a:spLocks/>
        </xdr:cNvSpPr>
      </xdr:nvSpPr>
      <xdr:spPr>
        <a:xfrm>
          <a:off x="6057900" y="5934075"/>
          <a:ext cx="0" cy="413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114300</xdr:colOff>
      <xdr:row>5</xdr:row>
      <xdr:rowOff>0</xdr:rowOff>
    </xdr:from>
    <xdr:to>
      <xdr:col>21</xdr:col>
      <xdr:colOff>333375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6172200" y="1428750"/>
          <a:ext cx="4162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114300</xdr:colOff>
      <xdr:row>35</xdr:row>
      <xdr:rowOff>0</xdr:rowOff>
    </xdr:from>
    <xdr:to>
      <xdr:col>21</xdr:col>
      <xdr:colOff>333375</xdr:colOff>
      <xdr:row>35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6172200" y="14573250"/>
          <a:ext cx="4162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123825</xdr:rowOff>
    </xdr:from>
    <xdr:to>
      <xdr:col>22</xdr:col>
      <xdr:colOff>0</xdr:colOff>
      <xdr:row>24</xdr:row>
      <xdr:rowOff>314325</xdr:rowOff>
    </xdr:to>
    <xdr:sp>
      <xdr:nvSpPr>
        <xdr:cNvPr id="32" name="Line 32"/>
        <xdr:cNvSpPr>
          <a:spLocks/>
        </xdr:cNvSpPr>
      </xdr:nvSpPr>
      <xdr:spPr>
        <a:xfrm flipV="1">
          <a:off x="10439400" y="5934075"/>
          <a:ext cx="0" cy="413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22</xdr:col>
      <xdr:colOff>114300</xdr:colOff>
      <xdr:row>15</xdr:row>
      <xdr:rowOff>0</xdr:rowOff>
    </xdr:from>
    <xdr:to>
      <xdr:col>31</xdr:col>
      <xdr:colOff>333375</xdr:colOff>
      <xdr:row>15</xdr:row>
      <xdr:rowOff>0</xdr:rowOff>
    </xdr:to>
    <xdr:sp>
      <xdr:nvSpPr>
        <xdr:cNvPr id="33" name="Line 33"/>
        <xdr:cNvSpPr>
          <a:spLocks/>
        </xdr:cNvSpPr>
      </xdr:nvSpPr>
      <xdr:spPr>
        <a:xfrm>
          <a:off x="10553700" y="5810250"/>
          <a:ext cx="4162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76200</xdr:colOff>
      <xdr:row>5</xdr:row>
      <xdr:rowOff>76200</xdr:rowOff>
    </xdr:from>
    <xdr:to>
      <xdr:col>21</xdr:col>
      <xdr:colOff>352425</xdr:colOff>
      <xdr:row>24</xdr:row>
      <xdr:rowOff>352425</xdr:rowOff>
    </xdr:to>
    <xdr:sp>
      <xdr:nvSpPr>
        <xdr:cNvPr id="34" name="Line 34"/>
        <xdr:cNvSpPr>
          <a:spLocks/>
        </xdr:cNvSpPr>
      </xdr:nvSpPr>
      <xdr:spPr>
        <a:xfrm flipH="1">
          <a:off x="1752600" y="1504950"/>
          <a:ext cx="8601075" cy="8601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22</xdr:col>
      <xdr:colOff>76200</xdr:colOff>
      <xdr:row>25</xdr:row>
      <xdr:rowOff>76200</xdr:rowOff>
    </xdr:from>
    <xdr:to>
      <xdr:col>31</xdr:col>
      <xdr:colOff>352425</xdr:colOff>
      <xdr:row>34</xdr:row>
      <xdr:rowOff>352425</xdr:rowOff>
    </xdr:to>
    <xdr:sp>
      <xdr:nvSpPr>
        <xdr:cNvPr id="35" name="Line 35"/>
        <xdr:cNvSpPr>
          <a:spLocks/>
        </xdr:cNvSpPr>
      </xdr:nvSpPr>
      <xdr:spPr>
        <a:xfrm flipH="1">
          <a:off x="10515600" y="10267950"/>
          <a:ext cx="4219575" cy="4219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123825</xdr:rowOff>
    </xdr:from>
    <xdr:to>
      <xdr:col>32</xdr:col>
      <xdr:colOff>0</xdr:colOff>
      <xdr:row>24</xdr:row>
      <xdr:rowOff>314325</xdr:rowOff>
    </xdr:to>
    <xdr:sp>
      <xdr:nvSpPr>
        <xdr:cNvPr id="36" name="Line 36"/>
        <xdr:cNvSpPr>
          <a:spLocks/>
        </xdr:cNvSpPr>
      </xdr:nvSpPr>
      <xdr:spPr>
        <a:xfrm>
          <a:off x="14820900" y="5934075"/>
          <a:ext cx="0" cy="413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combinatoric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comb_route_graphics"/>
      <definedName name="Comb_Search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0"/>
  <sheetViews>
    <sheetView workbookViewId="0" topLeftCell="A1">
      <selection activeCell="A1" sqref="A1"/>
    </sheetView>
  </sheetViews>
  <sheetFormatPr defaultColWidth="11.00390625" defaultRowHeight="12.75"/>
  <cols>
    <col min="2" max="2" width="6.125" style="0" customWidth="1"/>
    <col min="3" max="3" width="12.75390625" style="0" bestFit="1" customWidth="1"/>
    <col min="4" max="12" width="6.75390625" style="0" customWidth="1"/>
    <col min="13" max="13" width="12.375" style="0" bestFit="1" customWidth="1"/>
    <col min="14" max="22" width="5.75390625" style="0" customWidth="1"/>
  </cols>
  <sheetData>
    <row r="1" ht="18">
      <c r="A1" s="1" t="s">
        <v>0</v>
      </c>
    </row>
    <row r="3" spans="2:15" ht="12.75">
      <c r="B3" s="13" t="s">
        <v>31</v>
      </c>
      <c r="C3" s="8" t="s">
        <v>1</v>
      </c>
      <c r="F3" s="2" t="s">
        <v>2</v>
      </c>
      <c r="G3" s="2"/>
      <c r="H3" s="2" t="s">
        <v>3</v>
      </c>
      <c r="M3" s="8" t="s">
        <v>40</v>
      </c>
      <c r="N3">
        <v>38</v>
      </c>
      <c r="O3" t="s">
        <v>48</v>
      </c>
    </row>
    <row r="4" spans="3:15" ht="12.75">
      <c r="C4" s="4" t="s">
        <v>8</v>
      </c>
      <c r="D4" s="5" t="s">
        <v>9</v>
      </c>
      <c r="E4" s="4" t="s">
        <v>4</v>
      </c>
      <c r="F4" s="3" t="s">
        <v>6</v>
      </c>
      <c r="G4" s="4" t="s">
        <v>7</v>
      </c>
      <c r="H4" s="5" t="b">
        <f>TSP1_OpFeasValue=0</f>
        <v>1</v>
      </c>
      <c r="M4" s="8" t="s">
        <v>41</v>
      </c>
      <c r="N4">
        <v>0</v>
      </c>
      <c r="O4" t="s">
        <v>42</v>
      </c>
    </row>
    <row r="5" spans="3:18" ht="12.75">
      <c r="C5" s="4" t="s">
        <v>10</v>
      </c>
      <c r="D5" s="5" t="s">
        <v>36</v>
      </c>
      <c r="E5" s="4" t="s">
        <v>5</v>
      </c>
      <c r="F5" s="5">
        <f>SUM(TSP1_OpObjTerms)</f>
        <v>38</v>
      </c>
      <c r="G5" s="4" t="s">
        <v>5</v>
      </c>
      <c r="H5" s="5">
        <f>COUNTIF(TSP1_OpValue,"=0")</f>
        <v>0</v>
      </c>
      <c r="M5" s="8" t="s">
        <v>43</v>
      </c>
      <c r="N5">
        <v>121</v>
      </c>
      <c r="O5" s="4" t="s">
        <v>44</v>
      </c>
      <c r="P5">
        <v>121</v>
      </c>
      <c r="Q5" s="4" t="s">
        <v>45</v>
      </c>
      <c r="R5">
        <v>0</v>
      </c>
    </row>
    <row r="6" spans="2:14" ht="12.75">
      <c r="B6" s="13" t="s">
        <v>32</v>
      </c>
      <c r="C6" s="4" t="s">
        <v>11</v>
      </c>
      <c r="D6" s="5" t="s">
        <v>12</v>
      </c>
      <c r="E6" t="s">
        <v>13</v>
      </c>
      <c r="F6" s="3" t="s">
        <v>14</v>
      </c>
      <c r="M6" s="8" t="s">
        <v>46</v>
      </c>
      <c r="N6" s="18">
        <v>1</v>
      </c>
    </row>
    <row r="7" spans="3:14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M7" s="8" t="s">
        <v>47</v>
      </c>
      <c r="N7">
        <v>10</v>
      </c>
    </row>
    <row r="8" spans="3:10" ht="12.75">
      <c r="C8" s="4" t="s">
        <v>8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23</v>
      </c>
    </row>
    <row r="9" spans="3:14" ht="12.75">
      <c r="C9" s="4" t="s">
        <v>24</v>
      </c>
      <c r="D9" s="6">
        <v>3</v>
      </c>
      <c r="E9" s="6">
        <v>4</v>
      </c>
      <c r="F9" s="6">
        <v>5</v>
      </c>
      <c r="G9" s="6">
        <v>7</v>
      </c>
      <c r="H9" s="6">
        <v>6</v>
      </c>
      <c r="I9" s="6">
        <v>2</v>
      </c>
      <c r="J9" s="6">
        <v>1</v>
      </c>
      <c r="N9" s="12" t="s">
        <v>37</v>
      </c>
    </row>
    <row r="10" spans="3:22" ht="12.75">
      <c r="C10" s="4" t="s">
        <v>25</v>
      </c>
      <c r="D10" s="7">
        <v>1</v>
      </c>
      <c r="E10" s="7">
        <f aca="true" t="shared" si="0" ref="E10:J10">INDEX(TSP1_OpValue,1,D10)</f>
        <v>3</v>
      </c>
      <c r="F10" s="7">
        <f t="shared" si="0"/>
        <v>5</v>
      </c>
      <c r="G10" s="7">
        <f t="shared" si="0"/>
        <v>6</v>
      </c>
      <c r="H10" s="7">
        <f t="shared" si="0"/>
        <v>2</v>
      </c>
      <c r="I10" s="7">
        <f t="shared" si="0"/>
        <v>4</v>
      </c>
      <c r="J10" s="7">
        <f t="shared" si="0"/>
        <v>7</v>
      </c>
      <c r="N10" s="2" t="s">
        <v>38</v>
      </c>
      <c r="O10" s="2" t="s">
        <v>16</v>
      </c>
      <c r="P10" s="2" t="s">
        <v>17</v>
      </c>
      <c r="Q10" s="2" t="s">
        <v>18</v>
      </c>
      <c r="R10" s="2" t="s">
        <v>19</v>
      </c>
      <c r="S10" s="2" t="s">
        <v>20</v>
      </c>
      <c r="T10" s="2" t="s">
        <v>21</v>
      </c>
      <c r="U10" s="2" t="s">
        <v>23</v>
      </c>
      <c r="V10" s="2" t="s">
        <v>39</v>
      </c>
    </row>
    <row r="11" spans="14:22" ht="12.75">
      <c r="N11" s="19">
        <v>41</v>
      </c>
      <c r="O11" s="19">
        <v>3</v>
      </c>
      <c r="P11" s="19">
        <v>4</v>
      </c>
      <c r="Q11" s="19">
        <v>5</v>
      </c>
      <c r="R11" s="19">
        <v>7</v>
      </c>
      <c r="S11" s="19">
        <v>6</v>
      </c>
      <c r="T11" s="19">
        <v>2</v>
      </c>
      <c r="U11" s="19">
        <v>1</v>
      </c>
      <c r="V11" s="19">
        <v>38</v>
      </c>
    </row>
    <row r="12" spans="3:22" ht="12.75">
      <c r="C12" s="4" t="s">
        <v>26</v>
      </c>
      <c r="D12" s="7">
        <f aca="true" t="shared" si="1" ref="D12:J12">INDEX(TSP1_OpObjMatrix,TSP1_OpValue+1,)</f>
        <v>3</v>
      </c>
      <c r="E12" s="7">
        <f t="shared" si="1"/>
        <v>9</v>
      </c>
      <c r="F12" s="7">
        <f t="shared" si="1"/>
        <v>10</v>
      </c>
      <c r="G12" s="7">
        <f t="shared" si="1"/>
        <v>9</v>
      </c>
      <c r="H12" s="7">
        <f t="shared" si="1"/>
        <v>3</v>
      </c>
      <c r="I12" s="7">
        <f t="shared" si="1"/>
        <v>4</v>
      </c>
      <c r="J12" s="7">
        <f t="shared" si="1"/>
        <v>0</v>
      </c>
      <c r="N12" s="19">
        <v>54</v>
      </c>
      <c r="O12" s="19">
        <v>4</v>
      </c>
      <c r="P12" s="19">
        <v>6</v>
      </c>
      <c r="Q12" s="19">
        <v>7</v>
      </c>
      <c r="R12" s="19">
        <v>2</v>
      </c>
      <c r="S12" s="19">
        <v>3</v>
      </c>
      <c r="T12" s="19">
        <v>5</v>
      </c>
      <c r="U12" s="19">
        <v>1</v>
      </c>
      <c r="V12" s="19">
        <v>38</v>
      </c>
    </row>
    <row r="13" spans="3:22" ht="12.75">
      <c r="C13" s="4"/>
      <c r="N13" s="19">
        <v>121</v>
      </c>
      <c r="O13" s="19">
        <v>3</v>
      </c>
      <c r="P13" s="19">
        <v>4</v>
      </c>
      <c r="Q13" s="19">
        <v>5</v>
      </c>
      <c r="R13" s="19">
        <v>7</v>
      </c>
      <c r="S13" s="19">
        <v>6</v>
      </c>
      <c r="T13" s="19">
        <v>2</v>
      </c>
      <c r="U13" s="19">
        <v>1</v>
      </c>
      <c r="V13" s="19">
        <v>38</v>
      </c>
    </row>
    <row r="14" spans="3:22" ht="12.75">
      <c r="C14" s="4" t="s">
        <v>27</v>
      </c>
      <c r="D14" s="2">
        <v>1</v>
      </c>
      <c r="E14" s="2">
        <v>2</v>
      </c>
      <c r="F14" s="2">
        <v>3</v>
      </c>
      <c r="G14" s="2">
        <v>4</v>
      </c>
      <c r="H14" s="2">
        <v>5</v>
      </c>
      <c r="I14" s="2">
        <v>6</v>
      </c>
      <c r="J14" s="2">
        <v>7</v>
      </c>
      <c r="N14" s="19">
        <v>47</v>
      </c>
      <c r="O14" s="19">
        <v>3</v>
      </c>
      <c r="P14" s="19">
        <v>4</v>
      </c>
      <c r="Q14" s="19">
        <v>6</v>
      </c>
      <c r="R14" s="19">
        <v>7</v>
      </c>
      <c r="S14" s="19">
        <v>2</v>
      </c>
      <c r="T14" s="19">
        <v>5</v>
      </c>
      <c r="U14" s="19">
        <v>1</v>
      </c>
      <c r="V14" s="19">
        <v>42</v>
      </c>
    </row>
    <row r="15" spans="3:22" ht="13.5" thickBot="1">
      <c r="C15" s="4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0" t="s">
        <v>28</v>
      </c>
      <c r="L15" s="10" t="s">
        <v>29</v>
      </c>
      <c r="N15" s="19">
        <v>92</v>
      </c>
      <c r="O15" s="19">
        <v>5</v>
      </c>
      <c r="P15" s="19">
        <v>4</v>
      </c>
      <c r="Q15" s="19">
        <v>7</v>
      </c>
      <c r="R15" s="19">
        <v>3</v>
      </c>
      <c r="S15" s="19">
        <v>6</v>
      </c>
      <c r="T15" s="19">
        <v>2</v>
      </c>
      <c r="U15" s="19">
        <v>1</v>
      </c>
      <c r="V15" s="19">
        <v>42</v>
      </c>
    </row>
    <row r="16" spans="3:22" ht="15" thickBot="1" thickTop="1">
      <c r="C16" s="4">
        <v>1</v>
      </c>
      <c r="D16" s="9" t="s">
        <v>30</v>
      </c>
      <c r="E16" s="9" t="s">
        <v>30</v>
      </c>
      <c r="F16" s="9" t="s">
        <v>30</v>
      </c>
      <c r="G16" s="9" t="s">
        <v>30</v>
      </c>
      <c r="H16" s="9" t="s">
        <v>30</v>
      </c>
      <c r="I16" s="9" t="s">
        <v>30</v>
      </c>
      <c r="J16" s="20">
        <v>0</v>
      </c>
      <c r="K16" s="11">
        <v>9.992228507995605</v>
      </c>
      <c r="L16" s="11">
        <v>6.657560348510742</v>
      </c>
      <c r="N16" s="19">
        <v>52</v>
      </c>
      <c r="O16" s="19">
        <v>4</v>
      </c>
      <c r="P16" s="19">
        <v>5</v>
      </c>
      <c r="Q16" s="19">
        <v>7</v>
      </c>
      <c r="R16" s="19">
        <v>2</v>
      </c>
      <c r="S16" s="19">
        <v>6</v>
      </c>
      <c r="T16" s="19">
        <v>3</v>
      </c>
      <c r="U16" s="19">
        <v>1</v>
      </c>
      <c r="V16" s="19">
        <v>42</v>
      </c>
    </row>
    <row r="17" spans="3:22" ht="15" thickBot="1" thickTop="1">
      <c r="C17" s="4">
        <v>2</v>
      </c>
      <c r="D17" s="9">
        <f>INT(SQRT((INDEX(TSP1_x,2)-INDEX(TSP1_x,1))^2+(INDEX(TSP1_y,2)-INDEX(TSP1_y,1))^2))</f>
        <v>11</v>
      </c>
      <c r="E17" s="9" t="s">
        <v>30</v>
      </c>
      <c r="F17" s="9">
        <f>INT(SQRT((INDEX(TSP1_x,2)-INDEX(TSP1_x,3))^2+(INDEX(TSP1_y,2)-INDEX(TSP1_y,3))^2))</f>
        <v>13</v>
      </c>
      <c r="G17" s="9">
        <f>INT(SQRT((INDEX(TSP1_x,2)-INDEX(TSP1_x,4))^2+(INDEX(TSP1_y,2)-INDEX(TSP1_y,4))^2))</f>
        <v>9</v>
      </c>
      <c r="H17" s="9">
        <f>INT(SQRT((INDEX(TSP1_x,2)-INDEX(TSP1_x,5))^2+(INDEX(TSP1_y,2)-INDEX(TSP1_y,5))^2))</f>
        <v>5</v>
      </c>
      <c r="I17" s="20">
        <f>INT(SQRT((INDEX(TSP1_x,2)-INDEX(TSP1_x,6))^2+(INDEX(TSP1_y,2)-INDEX(TSP1_y,6))^2))</f>
        <v>4</v>
      </c>
      <c r="J17" s="9" t="s">
        <v>30</v>
      </c>
      <c r="K17" s="11">
        <v>13.291875839233398</v>
      </c>
      <c r="L17" s="11">
        <v>17.935497283935547</v>
      </c>
      <c r="N17" s="19">
        <v>32</v>
      </c>
      <c r="O17" s="19">
        <v>3</v>
      </c>
      <c r="P17" s="19">
        <v>6</v>
      </c>
      <c r="Q17" s="19">
        <v>4</v>
      </c>
      <c r="R17" s="19">
        <v>2</v>
      </c>
      <c r="S17" s="19">
        <v>7</v>
      </c>
      <c r="T17" s="19">
        <v>5</v>
      </c>
      <c r="U17" s="19">
        <v>1</v>
      </c>
      <c r="V17" s="19">
        <v>42</v>
      </c>
    </row>
    <row r="18" spans="3:22" ht="15" thickBot="1" thickTop="1">
      <c r="C18" s="4">
        <v>3</v>
      </c>
      <c r="D18" s="20">
        <f>INT(SQRT((INDEX(TSP1_x,3)-INDEX(TSP1_x,1))^2+(INDEX(TSP1_y,3)-INDEX(TSP1_y,1))^2))</f>
        <v>3</v>
      </c>
      <c r="E18" s="9">
        <f>INT(SQRT((INDEX(TSP1_x,3)-INDEX(TSP1_x,2))^2+(INDEX(TSP1_y,3)-INDEX(TSP1_y,2))^2))</f>
        <v>13</v>
      </c>
      <c r="F18" s="9" t="s">
        <v>30</v>
      </c>
      <c r="G18" s="9">
        <f>INT(SQRT((INDEX(TSP1_x,3)-INDEX(TSP1_x,4))^2+(INDEX(TSP1_y,3)-INDEX(TSP1_y,4))^2))</f>
        <v>13</v>
      </c>
      <c r="H18" s="9">
        <f>INT(SQRT((INDEX(TSP1_x,3)-INDEX(TSP1_x,5))^2+(INDEX(TSP1_y,3)-INDEX(TSP1_y,5))^2))</f>
        <v>10</v>
      </c>
      <c r="I18" s="9">
        <f>INT(SQRT((INDEX(TSP1_x,3)-INDEX(TSP1_x,6))^2+(INDEX(TSP1_y,3)-INDEX(TSP1_y,6))^2))</f>
        <v>13</v>
      </c>
      <c r="J18" s="9" t="s">
        <v>30</v>
      </c>
      <c r="K18" s="11">
        <v>13.052424430847168</v>
      </c>
      <c r="L18" s="11">
        <v>4.4957733154296875</v>
      </c>
      <c r="N18" s="19">
        <v>30</v>
      </c>
      <c r="O18" s="19">
        <v>3</v>
      </c>
      <c r="P18" s="19">
        <v>6</v>
      </c>
      <c r="Q18" s="19">
        <v>2</v>
      </c>
      <c r="R18" s="19">
        <v>7</v>
      </c>
      <c r="S18" s="19">
        <v>4</v>
      </c>
      <c r="T18" s="19">
        <v>5</v>
      </c>
      <c r="U18" s="19">
        <v>1</v>
      </c>
      <c r="V18" s="19">
        <v>45</v>
      </c>
    </row>
    <row r="19" spans="3:22" ht="15" thickBot="1" thickTop="1">
      <c r="C19" s="4">
        <v>4</v>
      </c>
      <c r="D19" s="9">
        <f>INT(SQRT((INDEX(TSP1_x,4)-INDEX(TSP1_x,1))^2+(INDEX(TSP1_y,4)-INDEX(TSP1_y,1))^2))</f>
        <v>9</v>
      </c>
      <c r="E19" s="20">
        <f>INT(SQRT((INDEX(TSP1_x,4)-INDEX(TSP1_x,2))^2+(INDEX(TSP1_y,4)-INDEX(TSP1_y,2))^2))</f>
        <v>9</v>
      </c>
      <c r="F19" s="9">
        <f>INT(SQRT((INDEX(TSP1_x,4)-INDEX(TSP1_x,3))^2+(INDEX(TSP1_y,4)-INDEX(TSP1_y,3))^2))</f>
        <v>13</v>
      </c>
      <c r="G19" s="9" t="s">
        <v>30</v>
      </c>
      <c r="H19" s="9">
        <f>INT(SQRT((INDEX(TSP1_x,4)-INDEX(TSP1_x,5))^2+(INDEX(TSP1_y,4)-INDEX(TSP1_y,5))^2))</f>
        <v>13</v>
      </c>
      <c r="I19" s="9">
        <f>INT(SQRT((INDEX(TSP1_x,4)-INDEX(TSP1_x,6))^2+(INDEX(TSP1_y,4)-INDEX(TSP1_y,6))^2))</f>
        <v>14</v>
      </c>
      <c r="J19" s="9" t="s">
        <v>30</v>
      </c>
      <c r="K19" s="11">
        <v>3.9708402156829834</v>
      </c>
      <c r="L19" s="11">
        <v>14.567795753479004</v>
      </c>
      <c r="N19" s="19">
        <v>65</v>
      </c>
      <c r="O19" s="19">
        <v>4</v>
      </c>
      <c r="P19" s="19">
        <v>3</v>
      </c>
      <c r="Q19" s="19">
        <v>7</v>
      </c>
      <c r="R19" s="19">
        <v>5</v>
      </c>
      <c r="S19" s="19">
        <v>6</v>
      </c>
      <c r="T19" s="19">
        <v>2</v>
      </c>
      <c r="U19" s="19">
        <v>1</v>
      </c>
      <c r="V19" s="19">
        <v>45</v>
      </c>
    </row>
    <row r="20" spans="3:22" ht="15" thickBot="1" thickTop="1">
      <c r="C20" s="4">
        <v>5</v>
      </c>
      <c r="D20" s="9">
        <f>INT(SQRT((INDEX(TSP1_x,5)-INDEX(TSP1_x,1))^2+(INDEX(TSP1_y,5)-INDEX(TSP1_y,1))^2))</f>
        <v>10</v>
      </c>
      <c r="E20" s="9">
        <f>INT(SQRT((INDEX(TSP1_x,5)-INDEX(TSP1_x,2))^2+(INDEX(TSP1_y,5)-INDEX(TSP1_y,2))^2))</f>
        <v>5</v>
      </c>
      <c r="F20" s="20">
        <f>INT(SQRT((INDEX(TSP1_x,5)-INDEX(TSP1_x,3))^2+(INDEX(TSP1_y,5)-INDEX(TSP1_y,3))^2))</f>
        <v>10</v>
      </c>
      <c r="G20" s="9">
        <f>INT(SQRT((INDEX(TSP1_x,5)-INDEX(TSP1_x,4))^2+(INDEX(TSP1_y,5)-INDEX(TSP1_y,4))^2))</f>
        <v>13</v>
      </c>
      <c r="H20" s="9" t="s">
        <v>30</v>
      </c>
      <c r="I20" s="9">
        <f>INT(SQRT((INDEX(TSP1_x,5)-INDEX(TSP1_x,6))^2+(INDEX(TSP1_y,5)-INDEX(TSP1_y,6))^2))</f>
        <v>3</v>
      </c>
      <c r="J20" s="9" t="s">
        <v>30</v>
      </c>
      <c r="K20" s="11">
        <v>17.39796257019043</v>
      </c>
      <c r="L20" s="11">
        <v>13.981863021850586</v>
      </c>
      <c r="N20" s="19">
        <v>68</v>
      </c>
      <c r="O20" s="19">
        <v>4</v>
      </c>
      <c r="P20" s="19">
        <v>5</v>
      </c>
      <c r="Q20" s="19">
        <v>7</v>
      </c>
      <c r="R20" s="19">
        <v>6</v>
      </c>
      <c r="S20" s="19">
        <v>3</v>
      </c>
      <c r="T20" s="19">
        <v>2</v>
      </c>
      <c r="U20" s="19">
        <v>1</v>
      </c>
      <c r="V20" s="19">
        <v>45</v>
      </c>
    </row>
    <row r="21" spans="3:22" ht="15" thickBot="1" thickTop="1">
      <c r="C21" s="4">
        <v>6</v>
      </c>
      <c r="D21" s="9">
        <f>INT(SQRT((INDEX(TSP1_x,6)-INDEX(TSP1_x,1))^2+(INDEX(TSP1_y,6)-INDEX(TSP1_y,1))^2))</f>
        <v>13</v>
      </c>
      <c r="E21" s="9">
        <f>INT(SQRT((INDEX(TSP1_x,6)-INDEX(TSP1_x,2))^2+(INDEX(TSP1_y,6)-INDEX(TSP1_y,2))^2))</f>
        <v>4</v>
      </c>
      <c r="F21" s="9">
        <f>INT(SQRT((INDEX(TSP1_x,6)-INDEX(TSP1_x,3))^2+(INDEX(TSP1_y,6)-INDEX(TSP1_y,3))^2))</f>
        <v>13</v>
      </c>
      <c r="G21" s="9">
        <f>INT(SQRT((INDEX(TSP1_x,6)-INDEX(TSP1_x,4))^2+(INDEX(TSP1_y,6)-INDEX(TSP1_y,4))^2))</f>
        <v>14</v>
      </c>
      <c r="H21" s="20">
        <f>INT(SQRT((INDEX(TSP1_x,6)-INDEX(TSP1_x,5))^2+(INDEX(TSP1_y,6)-INDEX(TSP1_y,5))^2))</f>
        <v>3</v>
      </c>
      <c r="I21" s="9" t="s">
        <v>30</v>
      </c>
      <c r="J21" s="9" t="s">
        <v>30</v>
      </c>
      <c r="K21" s="11">
        <v>18.194454193115234</v>
      </c>
      <c r="L21" s="11">
        <v>17.101295471191406</v>
      </c>
      <c r="N21" s="19">
        <v>38</v>
      </c>
      <c r="O21" s="19">
        <v>3</v>
      </c>
      <c r="P21" s="19">
        <v>6</v>
      </c>
      <c r="Q21" s="19">
        <v>5</v>
      </c>
      <c r="R21" s="19">
        <v>7</v>
      </c>
      <c r="S21" s="19">
        <v>2</v>
      </c>
      <c r="T21" s="19">
        <v>4</v>
      </c>
      <c r="U21" s="19">
        <v>1</v>
      </c>
      <c r="V21" s="19">
        <v>45</v>
      </c>
    </row>
    <row r="22" spans="3:22" ht="15" thickBot="1" thickTop="1">
      <c r="C22" s="4">
        <v>7</v>
      </c>
      <c r="D22" s="9" t="s">
        <v>30</v>
      </c>
      <c r="E22" s="9">
        <f>INT(SQRT((INDEX(TSP1_x,7)-INDEX(TSP1_x,2))^2+(INDEX(TSP1_y,7)-INDEX(TSP1_y,2))^2))</f>
        <v>11</v>
      </c>
      <c r="F22" s="9">
        <f>INT(SQRT((INDEX(TSP1_x,7)-INDEX(TSP1_x,3))^2+(INDEX(TSP1_y,7)-INDEX(TSP1_y,3))^2))</f>
        <v>3</v>
      </c>
      <c r="G22" s="20">
        <f>INT(SQRT((INDEX(TSP1_x,7)-INDEX(TSP1_x,4))^2+(INDEX(TSP1_y,7)-INDEX(TSP1_y,4))^2))</f>
        <v>9</v>
      </c>
      <c r="H22" s="9">
        <f>INT(SQRT((INDEX(TSP1_x,7)-INDEX(TSP1_x,5))^2+(INDEX(TSP1_y,7)-INDEX(TSP1_y,5))^2))</f>
        <v>10</v>
      </c>
      <c r="I22" s="9">
        <f>INT(SQRT((INDEX(TSP1_x,7)-INDEX(TSP1_x,6))^2+(INDEX(TSP1_y,7)-INDEX(TSP1_y,6))^2))</f>
        <v>13</v>
      </c>
      <c r="J22" s="9" t="s">
        <v>30</v>
      </c>
      <c r="K22" s="11">
        <v>9.992228507995605</v>
      </c>
      <c r="L22" s="11">
        <v>6.657560348510742</v>
      </c>
      <c r="N22" s="19">
        <v>31</v>
      </c>
      <c r="O22" s="19">
        <v>3</v>
      </c>
      <c r="P22" s="19">
        <v>5</v>
      </c>
      <c r="Q22" s="19">
        <v>4</v>
      </c>
      <c r="R22" s="19">
        <v>2</v>
      </c>
      <c r="S22" s="19">
        <v>6</v>
      </c>
      <c r="T22" s="19">
        <v>7</v>
      </c>
      <c r="U22" s="19">
        <v>1</v>
      </c>
      <c r="V22" s="19">
        <v>46</v>
      </c>
    </row>
    <row r="23" spans="14:22" ht="13.5" thickTop="1">
      <c r="N23" s="19">
        <v>116</v>
      </c>
      <c r="O23" s="19">
        <v>6</v>
      </c>
      <c r="P23" s="19">
        <v>4</v>
      </c>
      <c r="Q23" s="19">
        <v>7</v>
      </c>
      <c r="R23" s="19">
        <v>3</v>
      </c>
      <c r="S23" s="19">
        <v>2</v>
      </c>
      <c r="T23" s="19">
        <v>5</v>
      </c>
      <c r="U23" s="19">
        <v>1</v>
      </c>
      <c r="V23" s="19">
        <v>46</v>
      </c>
    </row>
    <row r="24" spans="14:22" ht="12.75">
      <c r="N24" s="19">
        <v>28</v>
      </c>
      <c r="O24" s="19">
        <v>3</v>
      </c>
      <c r="P24" s="19">
        <v>5</v>
      </c>
      <c r="Q24" s="19">
        <v>2</v>
      </c>
      <c r="R24" s="19">
        <v>7</v>
      </c>
      <c r="S24" s="19">
        <v>6</v>
      </c>
      <c r="T24" s="19">
        <v>4</v>
      </c>
      <c r="U24" s="19">
        <v>1</v>
      </c>
      <c r="V24" s="19">
        <v>47</v>
      </c>
    </row>
    <row r="25" spans="14:22" ht="12.75">
      <c r="N25" s="19">
        <v>34</v>
      </c>
      <c r="O25" s="19">
        <v>3</v>
      </c>
      <c r="P25" s="19">
        <v>7</v>
      </c>
      <c r="Q25" s="19">
        <v>4</v>
      </c>
      <c r="R25" s="19">
        <v>5</v>
      </c>
      <c r="S25" s="19">
        <v>6</v>
      </c>
      <c r="T25" s="19">
        <v>2</v>
      </c>
      <c r="U25" s="19">
        <v>1</v>
      </c>
      <c r="V25" s="19">
        <v>47</v>
      </c>
    </row>
    <row r="26" spans="14:22" ht="12.75">
      <c r="N26" s="19">
        <v>71</v>
      </c>
      <c r="O26" s="19">
        <v>4</v>
      </c>
      <c r="P26" s="19">
        <v>3</v>
      </c>
      <c r="Q26" s="19">
        <v>7</v>
      </c>
      <c r="R26" s="19">
        <v>6</v>
      </c>
      <c r="S26" s="19">
        <v>2</v>
      </c>
      <c r="T26" s="19">
        <v>5</v>
      </c>
      <c r="U26" s="19">
        <v>1</v>
      </c>
      <c r="V26" s="19">
        <v>47</v>
      </c>
    </row>
    <row r="27" spans="14:22" ht="12.75">
      <c r="N27" s="19">
        <v>62</v>
      </c>
      <c r="O27" s="19">
        <v>4</v>
      </c>
      <c r="P27" s="19">
        <v>6</v>
      </c>
      <c r="Q27" s="19">
        <v>7</v>
      </c>
      <c r="R27" s="19">
        <v>5</v>
      </c>
      <c r="S27" s="19">
        <v>2</v>
      </c>
      <c r="T27" s="19">
        <v>3</v>
      </c>
      <c r="U27" s="19">
        <v>1</v>
      </c>
      <c r="V27" s="19">
        <v>47</v>
      </c>
    </row>
    <row r="28" spans="14:22" ht="12.75">
      <c r="N28" s="19">
        <v>24</v>
      </c>
      <c r="O28" s="19">
        <v>2</v>
      </c>
      <c r="P28" s="19">
        <v>6</v>
      </c>
      <c r="Q28" s="19">
        <v>7</v>
      </c>
      <c r="R28" s="19">
        <v>3</v>
      </c>
      <c r="S28" s="19">
        <v>4</v>
      </c>
      <c r="T28" s="19">
        <v>5</v>
      </c>
      <c r="U28" s="19">
        <v>1</v>
      </c>
      <c r="V28" s="19">
        <v>47</v>
      </c>
    </row>
    <row r="29" spans="14:22" ht="12.75">
      <c r="N29" s="19">
        <v>44</v>
      </c>
      <c r="O29" s="19">
        <v>3</v>
      </c>
      <c r="P29" s="19">
        <v>5</v>
      </c>
      <c r="Q29" s="19">
        <v>6</v>
      </c>
      <c r="R29" s="19">
        <v>7</v>
      </c>
      <c r="S29" s="19">
        <v>4</v>
      </c>
      <c r="T29" s="19">
        <v>2</v>
      </c>
      <c r="U29" s="19">
        <v>1</v>
      </c>
      <c r="V29" s="19">
        <v>47</v>
      </c>
    </row>
    <row r="30" spans="14:22" ht="12.75">
      <c r="N30" s="19">
        <v>35</v>
      </c>
      <c r="O30" s="19">
        <v>3</v>
      </c>
      <c r="P30" s="19">
        <v>5</v>
      </c>
      <c r="Q30" s="19">
        <v>4</v>
      </c>
      <c r="R30" s="19">
        <v>6</v>
      </c>
      <c r="S30" s="19">
        <v>7</v>
      </c>
      <c r="T30" s="19">
        <v>2</v>
      </c>
      <c r="U30" s="19">
        <v>1</v>
      </c>
      <c r="V30" s="19">
        <v>49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20"/>
  <sheetViews>
    <sheetView zoomScale="88" zoomScaleNormal="88" workbookViewId="0" topLeftCell="B4">
      <selection activeCell="U21" sqref="U21"/>
    </sheetView>
  </sheetViews>
  <sheetFormatPr defaultColWidth="11.00390625" defaultRowHeight="12.75"/>
  <cols>
    <col min="2" max="2" width="6.75390625" style="0" customWidth="1"/>
    <col min="3" max="20" width="5.75390625" style="0" customWidth="1"/>
  </cols>
  <sheetData>
    <row r="1" ht="18">
      <c r="A1" s="1" t="s">
        <v>33</v>
      </c>
    </row>
    <row r="2" spans="2:8" ht="12.75">
      <c r="B2" s="15" t="s">
        <v>34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</row>
    <row r="3" spans="2:8" ht="12.75">
      <c r="B3" s="15" t="s">
        <v>35</v>
      </c>
      <c r="C3">
        <v>1</v>
      </c>
      <c r="D3">
        <v>3</v>
      </c>
      <c r="E3">
        <v>5</v>
      </c>
      <c r="F3">
        <v>6</v>
      </c>
      <c r="G3">
        <v>2</v>
      </c>
      <c r="H3">
        <v>4</v>
      </c>
    </row>
    <row r="4" ht="34.5" customHeight="1">
      <c r="B4" s="15" t="s">
        <v>29</v>
      </c>
    </row>
    <row r="5" ht="34.5" customHeight="1">
      <c r="B5" s="2">
        <v>18</v>
      </c>
    </row>
    <row r="6" spans="2:18" ht="34.5" customHeight="1">
      <c r="B6" s="2">
        <v>17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34.5" customHeight="1">
      <c r="B7" s="2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34.5" customHeight="1">
      <c r="B8" s="2">
        <v>15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34.5" customHeight="1">
      <c r="B9" s="2">
        <v>14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34.5" customHeight="1">
      <c r="B10" s="2">
        <v>13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34.5" customHeight="1">
      <c r="B11" s="2">
        <v>12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34.5" customHeight="1">
      <c r="B12" s="2">
        <v>11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34.5" customHeight="1">
      <c r="B13" s="2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34.5" customHeight="1">
      <c r="B14" s="2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34.5" customHeight="1">
      <c r="B15" s="2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34.5" customHeight="1">
      <c r="B16" s="2">
        <v>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34.5" customHeight="1">
      <c r="B17" s="2">
        <v>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34.5" customHeight="1">
      <c r="B18" s="2">
        <v>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34.5" customHeight="1">
      <c r="B19" s="2">
        <v>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3:20" ht="34.5" customHeight="1">
      <c r="C20" s="16">
        <v>3</v>
      </c>
      <c r="D20" s="16">
        <v>4</v>
      </c>
      <c r="E20" s="16">
        <v>5</v>
      </c>
      <c r="F20" s="16">
        <v>6</v>
      </c>
      <c r="G20" s="16">
        <v>7</v>
      </c>
      <c r="H20" s="16">
        <v>8</v>
      </c>
      <c r="I20" s="16">
        <v>9</v>
      </c>
      <c r="J20" s="16">
        <v>10</v>
      </c>
      <c r="K20" s="16">
        <v>11</v>
      </c>
      <c r="L20" s="16">
        <v>12</v>
      </c>
      <c r="M20" s="16">
        <v>13</v>
      </c>
      <c r="N20" s="16">
        <v>14</v>
      </c>
      <c r="O20" s="16">
        <v>15</v>
      </c>
      <c r="P20" s="16">
        <v>16</v>
      </c>
      <c r="Q20" s="16">
        <v>17</v>
      </c>
      <c r="R20" s="16">
        <v>18</v>
      </c>
      <c r="S20" s="16">
        <v>19</v>
      </c>
      <c r="T20" s="17" t="s"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I64"/>
  <sheetViews>
    <sheetView workbookViewId="0" topLeftCell="A1">
      <selection activeCell="BH38" sqref="BH38"/>
    </sheetView>
  </sheetViews>
  <sheetFormatPr defaultColWidth="11.00390625" defaultRowHeight="12.75"/>
  <cols>
    <col min="1" max="2" width="9.25390625" style="22" customWidth="1"/>
    <col min="3" max="3" width="10.375" style="22" bestFit="1" customWidth="1"/>
    <col min="4" max="52" width="6.75390625" style="22" customWidth="1"/>
    <col min="53" max="54" width="7.75390625" style="22" customWidth="1"/>
    <col min="55" max="55" width="12.00390625" style="22" bestFit="1" customWidth="1"/>
    <col min="56" max="106" width="5.00390625" style="22" customWidth="1"/>
    <col min="107" max="16384" width="9.25390625" style="22" customWidth="1"/>
  </cols>
  <sheetData>
    <row r="1" ht="18">
      <c r="A1" s="21" t="s">
        <v>0</v>
      </c>
    </row>
    <row r="2" ht="12"/>
    <row r="3" spans="2:113" ht="12.75">
      <c r="B3" s="23" t="s">
        <v>31</v>
      </c>
      <c r="C3" s="24" t="s">
        <v>1</v>
      </c>
      <c r="F3" s="25" t="s">
        <v>2</v>
      </c>
      <c r="G3" s="25"/>
      <c r="H3" s="25" t="s">
        <v>3</v>
      </c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3:113" ht="12.75">
      <c r="C4" s="26" t="s">
        <v>8</v>
      </c>
      <c r="D4" s="27" t="s">
        <v>50</v>
      </c>
      <c r="E4" s="26" t="s">
        <v>4</v>
      </c>
      <c r="F4" s="28" t="s">
        <v>6</v>
      </c>
      <c r="G4" s="26" t="s">
        <v>7</v>
      </c>
      <c r="H4" s="27" t="b">
        <f>US_OpFeasValue=0</f>
        <v>1</v>
      </c>
      <c r="K4" s="22">
        <v>10628</v>
      </c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</row>
    <row r="5" spans="3:113" ht="12.75">
      <c r="C5" s="26" t="s">
        <v>10</v>
      </c>
      <c r="D5" s="27" t="s">
        <v>51</v>
      </c>
      <c r="E5" s="26" t="s">
        <v>5</v>
      </c>
      <c r="F5" s="27">
        <f>SUM(US_OpObjTerms)</f>
        <v>335.2370850743559</v>
      </c>
      <c r="G5" s="26" t="s">
        <v>5</v>
      </c>
      <c r="H5" s="27">
        <f>COUNTIF(US_OpValue,"=0")</f>
        <v>0</v>
      </c>
      <c r="K5" s="22">
        <f>K4/US_OpObj</f>
        <v>31.70293643867802</v>
      </c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</row>
    <row r="6" spans="2:113" ht="12.75">
      <c r="B6" s="23" t="s">
        <v>32</v>
      </c>
      <c r="C6" s="26" t="s">
        <v>11</v>
      </c>
      <c r="D6" s="27" t="s">
        <v>12</v>
      </c>
      <c r="E6" s="22" t="s">
        <v>13</v>
      </c>
      <c r="F6" s="28" t="s">
        <v>14</v>
      </c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</row>
    <row r="7" spans="3:113" ht="12.75">
      <c r="C7" s="26" t="s">
        <v>15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25">
        <v>17</v>
      </c>
      <c r="U7" s="25">
        <v>18</v>
      </c>
      <c r="V7" s="25">
        <v>19</v>
      </c>
      <c r="W7" s="25">
        <v>20</v>
      </c>
      <c r="X7" s="25">
        <v>21</v>
      </c>
      <c r="Y7" s="25">
        <v>22</v>
      </c>
      <c r="Z7" s="25">
        <v>23</v>
      </c>
      <c r="AA7" s="25">
        <v>24</v>
      </c>
      <c r="AB7" s="25">
        <v>25</v>
      </c>
      <c r="AC7" s="25">
        <v>26</v>
      </c>
      <c r="AD7" s="25">
        <v>27</v>
      </c>
      <c r="AE7" s="25">
        <v>28</v>
      </c>
      <c r="AF7" s="25">
        <v>29</v>
      </c>
      <c r="AG7" s="25">
        <v>30</v>
      </c>
      <c r="AH7" s="25">
        <v>31</v>
      </c>
      <c r="AI7" s="25">
        <v>32</v>
      </c>
      <c r="AJ7" s="25">
        <v>33</v>
      </c>
      <c r="AK7" s="25">
        <v>34</v>
      </c>
      <c r="AL7" s="25">
        <v>35</v>
      </c>
      <c r="AM7" s="25">
        <v>36</v>
      </c>
      <c r="AN7" s="25">
        <v>37</v>
      </c>
      <c r="AO7" s="25">
        <v>38</v>
      </c>
      <c r="AP7" s="25">
        <v>39</v>
      </c>
      <c r="AQ7" s="25">
        <v>40</v>
      </c>
      <c r="AR7" s="25">
        <v>41</v>
      </c>
      <c r="AS7" s="25">
        <v>42</v>
      </c>
      <c r="AT7" s="25">
        <v>43</v>
      </c>
      <c r="AU7" s="25">
        <v>44</v>
      </c>
      <c r="AV7" s="25">
        <v>45</v>
      </c>
      <c r="AW7" s="25">
        <v>46</v>
      </c>
      <c r="AX7" s="25">
        <v>47</v>
      </c>
      <c r="AY7" s="25">
        <v>48</v>
      </c>
      <c r="AZ7" s="25">
        <v>49</v>
      </c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</row>
    <row r="8" spans="3:113" ht="12.75">
      <c r="C8" s="26" t="s">
        <v>8</v>
      </c>
      <c r="D8" s="25" t="s">
        <v>16</v>
      </c>
      <c r="E8" s="25" t="s">
        <v>17</v>
      </c>
      <c r="F8" s="25" t="s">
        <v>18</v>
      </c>
      <c r="G8" s="25" t="s">
        <v>19</v>
      </c>
      <c r="H8" s="25" t="s">
        <v>20</v>
      </c>
      <c r="I8" s="25" t="s">
        <v>21</v>
      </c>
      <c r="J8" s="25" t="s">
        <v>22</v>
      </c>
      <c r="K8" s="25" t="s">
        <v>52</v>
      </c>
      <c r="L8" s="25" t="s">
        <v>53</v>
      </c>
      <c r="M8" s="25" t="s">
        <v>54</v>
      </c>
      <c r="N8" s="25" t="s">
        <v>55</v>
      </c>
      <c r="O8" s="25" t="s">
        <v>56</v>
      </c>
      <c r="P8" s="25" t="s">
        <v>57</v>
      </c>
      <c r="Q8" s="25" t="s">
        <v>58</v>
      </c>
      <c r="R8" s="25" t="s">
        <v>59</v>
      </c>
      <c r="S8" s="25" t="s">
        <v>60</v>
      </c>
      <c r="T8" s="25" t="s">
        <v>61</v>
      </c>
      <c r="U8" s="25" t="s">
        <v>62</v>
      </c>
      <c r="V8" s="25" t="s">
        <v>63</v>
      </c>
      <c r="W8" s="25" t="s">
        <v>64</v>
      </c>
      <c r="X8" s="25" t="s">
        <v>65</v>
      </c>
      <c r="Y8" s="25" t="s">
        <v>66</v>
      </c>
      <c r="Z8" s="25" t="s">
        <v>67</v>
      </c>
      <c r="AA8" s="25" t="s">
        <v>68</v>
      </c>
      <c r="AB8" s="25" t="s">
        <v>69</v>
      </c>
      <c r="AC8" s="25" t="s">
        <v>70</v>
      </c>
      <c r="AD8" s="25" t="s">
        <v>71</v>
      </c>
      <c r="AE8" s="25" t="s">
        <v>72</v>
      </c>
      <c r="AF8" s="25" t="s">
        <v>73</v>
      </c>
      <c r="AG8" s="25" t="s">
        <v>74</v>
      </c>
      <c r="AH8" s="25" t="s">
        <v>75</v>
      </c>
      <c r="AI8" s="25" t="s">
        <v>76</v>
      </c>
      <c r="AJ8" s="25" t="s">
        <v>77</v>
      </c>
      <c r="AK8" s="25" t="s">
        <v>78</v>
      </c>
      <c r="AL8" s="25" t="s">
        <v>79</v>
      </c>
      <c r="AM8" s="25" t="s">
        <v>80</v>
      </c>
      <c r="AN8" s="25" t="s">
        <v>81</v>
      </c>
      <c r="AO8" s="25" t="s">
        <v>82</v>
      </c>
      <c r="AP8" s="25" t="s">
        <v>83</v>
      </c>
      <c r="AQ8" s="25" t="s">
        <v>84</v>
      </c>
      <c r="AR8" s="25" t="s">
        <v>85</v>
      </c>
      <c r="AS8" s="25" t="s">
        <v>86</v>
      </c>
      <c r="AT8" s="25" t="s">
        <v>87</v>
      </c>
      <c r="AU8" s="25" t="s">
        <v>88</v>
      </c>
      <c r="AV8" s="25" t="s">
        <v>89</v>
      </c>
      <c r="AW8" s="25" t="s">
        <v>90</v>
      </c>
      <c r="AX8" s="25" t="s">
        <v>91</v>
      </c>
      <c r="AY8" s="25" t="s">
        <v>92</v>
      </c>
      <c r="AZ8" s="25" t="s">
        <v>23</v>
      </c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</row>
    <row r="9" spans="3:113" ht="12.75">
      <c r="C9" s="26" t="s">
        <v>24</v>
      </c>
      <c r="D9" s="29">
        <v>8</v>
      </c>
      <c r="E9" s="29">
        <v>29</v>
      </c>
      <c r="F9" s="29">
        <v>23</v>
      </c>
      <c r="G9" s="29">
        <v>26</v>
      </c>
      <c r="H9" s="29">
        <v>42</v>
      </c>
      <c r="I9" s="29">
        <v>37</v>
      </c>
      <c r="J9" s="29">
        <v>28</v>
      </c>
      <c r="K9" s="29">
        <v>38</v>
      </c>
      <c r="L9" s="29">
        <v>49</v>
      </c>
      <c r="M9" s="29">
        <v>45</v>
      </c>
      <c r="N9" s="29">
        <v>12</v>
      </c>
      <c r="O9" s="29">
        <v>15</v>
      </c>
      <c r="P9" s="29">
        <v>11</v>
      </c>
      <c r="Q9" s="29">
        <v>25</v>
      </c>
      <c r="R9" s="29">
        <v>40</v>
      </c>
      <c r="S9" s="29">
        <v>22</v>
      </c>
      <c r="T9" s="29">
        <v>43</v>
      </c>
      <c r="U9" s="29">
        <v>7</v>
      </c>
      <c r="V9" s="29">
        <v>27</v>
      </c>
      <c r="W9" s="29">
        <v>47</v>
      </c>
      <c r="X9" s="29">
        <v>32</v>
      </c>
      <c r="Y9" s="29">
        <v>3</v>
      </c>
      <c r="Z9" s="29">
        <v>14</v>
      </c>
      <c r="AA9" s="29">
        <v>10</v>
      </c>
      <c r="AB9" s="29">
        <v>13</v>
      </c>
      <c r="AC9" s="29">
        <v>2</v>
      </c>
      <c r="AD9" s="29">
        <v>17</v>
      </c>
      <c r="AE9" s="29">
        <v>6</v>
      </c>
      <c r="AF9" s="29">
        <v>34</v>
      </c>
      <c r="AG9" s="29">
        <v>36</v>
      </c>
      <c r="AH9" s="29">
        <v>44</v>
      </c>
      <c r="AI9" s="29">
        <v>39</v>
      </c>
      <c r="AJ9" s="29">
        <v>20</v>
      </c>
      <c r="AK9" s="29">
        <v>41</v>
      </c>
      <c r="AL9" s="29">
        <v>4</v>
      </c>
      <c r="AM9" s="29">
        <v>46</v>
      </c>
      <c r="AN9" s="29">
        <v>19</v>
      </c>
      <c r="AO9" s="29">
        <v>31</v>
      </c>
      <c r="AP9" s="29">
        <v>48</v>
      </c>
      <c r="AQ9" s="29">
        <v>9</v>
      </c>
      <c r="AR9" s="29">
        <v>16</v>
      </c>
      <c r="AS9" s="29">
        <v>24</v>
      </c>
      <c r="AT9" s="29">
        <v>30</v>
      </c>
      <c r="AU9" s="29">
        <v>18</v>
      </c>
      <c r="AV9" s="29">
        <v>35</v>
      </c>
      <c r="AW9" s="29">
        <v>33</v>
      </c>
      <c r="AX9" s="29">
        <v>21</v>
      </c>
      <c r="AY9" s="29">
        <v>5</v>
      </c>
      <c r="AZ9" s="29">
        <v>1</v>
      </c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</row>
    <row r="10" spans="3:113" ht="12.75">
      <c r="C10" s="26" t="s">
        <v>25</v>
      </c>
      <c r="D10" s="30">
        <v>1</v>
      </c>
      <c r="E10" s="30">
        <f aca="true" t="shared" si="0" ref="E10:AZ10">INDEX(US_OpValue,1,D10)</f>
        <v>8</v>
      </c>
      <c r="F10" s="30">
        <f t="shared" si="0"/>
        <v>38</v>
      </c>
      <c r="G10" s="30">
        <f t="shared" si="0"/>
        <v>31</v>
      </c>
      <c r="H10" s="30">
        <f t="shared" si="0"/>
        <v>44</v>
      </c>
      <c r="I10" s="30">
        <f t="shared" si="0"/>
        <v>18</v>
      </c>
      <c r="J10" s="30">
        <f t="shared" si="0"/>
        <v>7</v>
      </c>
      <c r="K10" s="30">
        <f t="shared" si="0"/>
        <v>28</v>
      </c>
      <c r="L10" s="30">
        <f t="shared" si="0"/>
        <v>6</v>
      </c>
      <c r="M10" s="30">
        <f t="shared" si="0"/>
        <v>37</v>
      </c>
      <c r="N10" s="30">
        <f t="shared" si="0"/>
        <v>19</v>
      </c>
      <c r="O10" s="30">
        <f t="shared" si="0"/>
        <v>27</v>
      </c>
      <c r="P10" s="30">
        <f t="shared" si="0"/>
        <v>17</v>
      </c>
      <c r="Q10" s="30">
        <f t="shared" si="0"/>
        <v>43</v>
      </c>
      <c r="R10" s="30">
        <f t="shared" si="0"/>
        <v>30</v>
      </c>
      <c r="S10" s="30">
        <f t="shared" si="0"/>
        <v>36</v>
      </c>
      <c r="T10" s="30">
        <f t="shared" si="0"/>
        <v>46</v>
      </c>
      <c r="U10" s="30">
        <f t="shared" si="0"/>
        <v>33</v>
      </c>
      <c r="V10" s="30">
        <f t="shared" si="0"/>
        <v>20</v>
      </c>
      <c r="W10" s="30">
        <f t="shared" si="0"/>
        <v>47</v>
      </c>
      <c r="X10" s="30">
        <f t="shared" si="0"/>
        <v>21</v>
      </c>
      <c r="Y10" s="30">
        <f t="shared" si="0"/>
        <v>32</v>
      </c>
      <c r="Z10" s="30">
        <f t="shared" si="0"/>
        <v>39</v>
      </c>
      <c r="AA10" s="30">
        <f t="shared" si="0"/>
        <v>48</v>
      </c>
      <c r="AB10" s="30">
        <f t="shared" si="0"/>
        <v>5</v>
      </c>
      <c r="AC10" s="30">
        <f t="shared" si="0"/>
        <v>42</v>
      </c>
      <c r="AD10" s="30">
        <f t="shared" si="0"/>
        <v>24</v>
      </c>
      <c r="AE10" s="30">
        <f t="shared" si="0"/>
        <v>10</v>
      </c>
      <c r="AF10" s="30">
        <f t="shared" si="0"/>
        <v>45</v>
      </c>
      <c r="AG10" s="30">
        <f t="shared" si="0"/>
        <v>35</v>
      </c>
      <c r="AH10" s="30">
        <f t="shared" si="0"/>
        <v>4</v>
      </c>
      <c r="AI10" s="30">
        <f t="shared" si="0"/>
        <v>26</v>
      </c>
      <c r="AJ10" s="30">
        <f t="shared" si="0"/>
        <v>2</v>
      </c>
      <c r="AK10" s="30">
        <f t="shared" si="0"/>
        <v>29</v>
      </c>
      <c r="AL10" s="30">
        <f t="shared" si="0"/>
        <v>34</v>
      </c>
      <c r="AM10" s="30">
        <f t="shared" si="0"/>
        <v>41</v>
      </c>
      <c r="AN10" s="30">
        <f t="shared" si="0"/>
        <v>16</v>
      </c>
      <c r="AO10" s="30">
        <f t="shared" si="0"/>
        <v>22</v>
      </c>
      <c r="AP10" s="30">
        <f t="shared" si="0"/>
        <v>3</v>
      </c>
      <c r="AQ10" s="30">
        <f t="shared" si="0"/>
        <v>23</v>
      </c>
      <c r="AR10" s="30">
        <f t="shared" si="0"/>
        <v>14</v>
      </c>
      <c r="AS10" s="30">
        <f t="shared" si="0"/>
        <v>25</v>
      </c>
      <c r="AT10" s="30">
        <f t="shared" si="0"/>
        <v>13</v>
      </c>
      <c r="AU10" s="30">
        <f t="shared" si="0"/>
        <v>11</v>
      </c>
      <c r="AV10" s="30">
        <f t="shared" si="0"/>
        <v>12</v>
      </c>
      <c r="AW10" s="30">
        <f t="shared" si="0"/>
        <v>15</v>
      </c>
      <c r="AX10" s="30">
        <f t="shared" si="0"/>
        <v>40</v>
      </c>
      <c r="AY10" s="30">
        <f t="shared" si="0"/>
        <v>9</v>
      </c>
      <c r="AZ10" s="30">
        <f t="shared" si="0"/>
        <v>49</v>
      </c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</row>
    <row r="11" spans="3:113" ht="12.75">
      <c r="C11" s="36" t="s">
        <v>48</v>
      </c>
      <c r="D11" s="22">
        <v>1</v>
      </c>
      <c r="E11" s="22">
        <v>8</v>
      </c>
      <c r="F11" s="22">
        <v>38</v>
      </c>
      <c r="G11" s="22">
        <v>31</v>
      </c>
      <c r="H11" s="22">
        <v>44</v>
      </c>
      <c r="I11" s="22">
        <v>18</v>
      </c>
      <c r="J11" s="22">
        <v>7</v>
      </c>
      <c r="K11" s="22">
        <v>28</v>
      </c>
      <c r="L11" s="22">
        <v>6</v>
      </c>
      <c r="M11" s="22">
        <v>37</v>
      </c>
      <c r="N11" s="22">
        <v>19</v>
      </c>
      <c r="O11" s="22">
        <v>27</v>
      </c>
      <c r="P11" s="22">
        <v>17</v>
      </c>
      <c r="Q11" s="22">
        <v>43</v>
      </c>
      <c r="R11" s="22">
        <v>30</v>
      </c>
      <c r="S11" s="22">
        <v>36</v>
      </c>
      <c r="T11" s="22">
        <v>46</v>
      </c>
      <c r="U11" s="22">
        <v>33</v>
      </c>
      <c r="V11" s="22">
        <v>20</v>
      </c>
      <c r="W11" s="22">
        <v>47</v>
      </c>
      <c r="X11" s="22">
        <v>21</v>
      </c>
      <c r="Y11" s="22">
        <v>32</v>
      </c>
      <c r="Z11" s="22">
        <v>39</v>
      </c>
      <c r="AA11" s="22">
        <v>48</v>
      </c>
      <c r="AB11" s="22">
        <v>5</v>
      </c>
      <c r="AC11" s="22">
        <v>42</v>
      </c>
      <c r="AD11" s="22">
        <v>24</v>
      </c>
      <c r="AE11" s="22">
        <v>10</v>
      </c>
      <c r="AF11" s="22">
        <v>45</v>
      </c>
      <c r="AG11" s="22">
        <v>35</v>
      </c>
      <c r="AH11" s="22">
        <v>4</v>
      </c>
      <c r="AI11" s="22">
        <v>26</v>
      </c>
      <c r="AJ11" s="22">
        <v>2</v>
      </c>
      <c r="AK11" s="22">
        <v>29</v>
      </c>
      <c r="AL11" s="22">
        <v>34</v>
      </c>
      <c r="AM11" s="22">
        <v>41</v>
      </c>
      <c r="AN11" s="22">
        <v>16</v>
      </c>
      <c r="AO11" s="22">
        <v>22</v>
      </c>
      <c r="AP11" s="22">
        <v>3</v>
      </c>
      <c r="AQ11" s="22">
        <v>23</v>
      </c>
      <c r="AR11" s="22">
        <v>14</v>
      </c>
      <c r="AS11" s="22">
        <v>25</v>
      </c>
      <c r="AT11" s="22">
        <v>13</v>
      </c>
      <c r="AU11" s="22">
        <v>11</v>
      </c>
      <c r="AV11" s="22">
        <v>12</v>
      </c>
      <c r="AW11" s="22">
        <v>15</v>
      </c>
      <c r="AX11" s="22">
        <v>40</v>
      </c>
      <c r="AY11" s="22">
        <v>9</v>
      </c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</row>
    <row r="12" spans="3:113" ht="12.75">
      <c r="C12" s="26" t="s">
        <v>26</v>
      </c>
      <c r="D12" s="30">
        <f aca="true" t="shared" si="1" ref="D12:AI12">INDEX(US_OpObjMatrix,US_OpValue+1,)</f>
        <v>5.623041881401918</v>
      </c>
      <c r="E12" s="30">
        <f t="shared" si="1"/>
        <v>12.03184108937614</v>
      </c>
      <c r="F12" s="30">
        <f t="shared" si="1"/>
        <v>8.271184921158513</v>
      </c>
      <c r="G12" s="30">
        <f t="shared" si="1"/>
        <v>3.19845275094068</v>
      </c>
      <c r="H12" s="30">
        <f t="shared" si="1"/>
        <v>11.684096028362656</v>
      </c>
      <c r="I12" s="30">
        <f t="shared" si="1"/>
        <v>2.061188977265314</v>
      </c>
      <c r="J12" s="30">
        <f t="shared" si="1"/>
        <v>2.669250831225877</v>
      </c>
      <c r="K12" s="30">
        <f t="shared" si="1"/>
        <v>9.84228123963139</v>
      </c>
      <c r="L12" s="30">
        <f t="shared" si="1"/>
        <v>4.620822437618656</v>
      </c>
      <c r="M12" s="30">
        <f t="shared" si="1"/>
        <v>12.678852471734183</v>
      </c>
      <c r="N12" s="30">
        <f t="shared" si="1"/>
        <v>5.854314648188977</v>
      </c>
      <c r="O12" s="30">
        <f t="shared" si="1"/>
        <v>4.052949543233915</v>
      </c>
      <c r="P12" s="30">
        <f t="shared" si="1"/>
        <v>7.650281040589291</v>
      </c>
      <c r="Q12" s="30">
        <f t="shared" si="1"/>
        <v>4.188006685763523</v>
      </c>
      <c r="R12" s="30">
        <f t="shared" si="1"/>
        <v>5.53244972864643</v>
      </c>
      <c r="S12" s="30">
        <f t="shared" si="1"/>
        <v>4.410408144378476</v>
      </c>
      <c r="T12" s="30">
        <f t="shared" si="1"/>
        <v>4.367905676637263</v>
      </c>
      <c r="U12" s="30">
        <f t="shared" si="1"/>
        <v>1.6791962362987818</v>
      </c>
      <c r="V12" s="30">
        <f t="shared" si="1"/>
        <v>2.013578903345977</v>
      </c>
      <c r="W12" s="30">
        <f t="shared" si="1"/>
        <v>7.765526382673617</v>
      </c>
      <c r="X12" s="30">
        <f t="shared" si="1"/>
        <v>12.396531773040389</v>
      </c>
      <c r="Y12" s="30">
        <f t="shared" si="1"/>
        <v>6.516417727555533</v>
      </c>
      <c r="Z12" s="30">
        <f t="shared" si="1"/>
        <v>6.051264330699829</v>
      </c>
      <c r="AA12" s="30">
        <f t="shared" si="1"/>
        <v>9.214342081776648</v>
      </c>
      <c r="AB12" s="30">
        <f t="shared" si="1"/>
        <v>5.320761223734816</v>
      </c>
      <c r="AC12" s="30">
        <f t="shared" si="1"/>
        <v>18.491565644909574</v>
      </c>
      <c r="AD12" s="30">
        <f t="shared" si="1"/>
        <v>3.692709032675069</v>
      </c>
      <c r="AE12" s="30">
        <f t="shared" si="1"/>
        <v>4.816824680222435</v>
      </c>
      <c r="AF12" s="30">
        <f t="shared" si="1"/>
        <v>14.977065800750157</v>
      </c>
      <c r="AG12" s="30">
        <f t="shared" si="1"/>
        <v>7.3440111655688565</v>
      </c>
      <c r="AH12" s="30">
        <f t="shared" si="1"/>
        <v>4.394769618535196</v>
      </c>
      <c r="AI12" s="30">
        <f t="shared" si="1"/>
        <v>5.326321432283259</v>
      </c>
      <c r="AJ12" s="30">
        <f aca="true" t="shared" si="2" ref="AJ12:AZ12">INDEX(US_OpObjMatrix,US_OpValue+1,)</f>
        <v>6.536206851071961</v>
      </c>
      <c r="AK12" s="30">
        <f t="shared" si="2"/>
        <v>11.231620542023311</v>
      </c>
      <c r="AL12" s="30">
        <f t="shared" si="2"/>
        <v>14.26011570780546</v>
      </c>
      <c r="AM12" s="30">
        <f t="shared" si="2"/>
        <v>9.01264112233479</v>
      </c>
      <c r="AN12" s="30">
        <f t="shared" si="2"/>
        <v>1.3146862743635805</v>
      </c>
      <c r="AO12" s="30">
        <f t="shared" si="2"/>
        <v>5.7763137033925025</v>
      </c>
      <c r="AP12" s="30">
        <f t="shared" si="2"/>
        <v>9.996449369651206</v>
      </c>
      <c r="AQ12" s="30">
        <f t="shared" si="2"/>
        <v>6.750029629564602</v>
      </c>
      <c r="AR12" s="30">
        <f t="shared" si="2"/>
        <v>12.404535460870752</v>
      </c>
      <c r="AS12" s="30">
        <f t="shared" si="2"/>
        <v>12.718840355944407</v>
      </c>
      <c r="AT12" s="30">
        <f t="shared" si="2"/>
        <v>3.9954098663341155</v>
      </c>
      <c r="AU12" s="30">
        <f t="shared" si="2"/>
        <v>3.541327434734041</v>
      </c>
      <c r="AV12" s="30">
        <f t="shared" si="2"/>
        <v>4.601836589884523</v>
      </c>
      <c r="AW12" s="30">
        <f t="shared" si="2"/>
        <v>4.213798761212964</v>
      </c>
      <c r="AX12" s="30">
        <f t="shared" si="2"/>
        <v>7.107214644289283</v>
      </c>
      <c r="AY12" s="30">
        <f t="shared" si="2"/>
        <v>3.0378446306550972</v>
      </c>
      <c r="AZ12" s="30">
        <f t="shared" si="2"/>
        <v>0</v>
      </c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</row>
    <row r="13" spans="3:113" ht="12.75">
      <c r="C13" s="26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</row>
    <row r="14" spans="3:113" ht="12.75">
      <c r="C14" s="26" t="s">
        <v>27</v>
      </c>
      <c r="D14" s="25">
        <v>1</v>
      </c>
      <c r="E14" s="25">
        <v>2</v>
      </c>
      <c r="F14" s="25">
        <v>3</v>
      </c>
      <c r="G14" s="25">
        <v>4</v>
      </c>
      <c r="H14" s="25">
        <v>5</v>
      </c>
      <c r="I14" s="25">
        <v>6</v>
      </c>
      <c r="J14" s="25">
        <v>7</v>
      </c>
      <c r="K14" s="25">
        <v>8</v>
      </c>
      <c r="L14" s="25">
        <v>9</v>
      </c>
      <c r="M14" s="25">
        <v>10</v>
      </c>
      <c r="N14" s="25">
        <v>11</v>
      </c>
      <c r="O14" s="25">
        <v>12</v>
      </c>
      <c r="P14" s="25">
        <v>13</v>
      </c>
      <c r="Q14" s="25">
        <v>14</v>
      </c>
      <c r="R14" s="25">
        <v>15</v>
      </c>
      <c r="S14" s="25">
        <v>16</v>
      </c>
      <c r="T14" s="25">
        <v>17</v>
      </c>
      <c r="U14" s="25">
        <v>18</v>
      </c>
      <c r="V14" s="25">
        <v>19</v>
      </c>
      <c r="W14" s="25">
        <v>20</v>
      </c>
      <c r="X14" s="25">
        <v>21</v>
      </c>
      <c r="Y14" s="25">
        <v>22</v>
      </c>
      <c r="Z14" s="25">
        <v>23</v>
      </c>
      <c r="AA14" s="25">
        <v>24</v>
      </c>
      <c r="AB14" s="25">
        <v>25</v>
      </c>
      <c r="AC14" s="25">
        <v>26</v>
      </c>
      <c r="AD14" s="25">
        <v>27</v>
      </c>
      <c r="AE14" s="25">
        <v>28</v>
      </c>
      <c r="AF14" s="25">
        <v>29</v>
      </c>
      <c r="AG14" s="25">
        <v>30</v>
      </c>
      <c r="AH14" s="25">
        <v>31</v>
      </c>
      <c r="AI14" s="25">
        <v>32</v>
      </c>
      <c r="AJ14" s="25">
        <v>33</v>
      </c>
      <c r="AK14" s="25">
        <v>34</v>
      </c>
      <c r="AL14" s="25">
        <v>35</v>
      </c>
      <c r="AM14" s="25">
        <v>36</v>
      </c>
      <c r="AN14" s="25">
        <v>37</v>
      </c>
      <c r="AO14" s="25">
        <v>38</v>
      </c>
      <c r="AP14" s="25">
        <v>39</v>
      </c>
      <c r="AQ14" s="25">
        <v>40</v>
      </c>
      <c r="AR14" s="25">
        <v>41</v>
      </c>
      <c r="AS14" s="25">
        <v>42</v>
      </c>
      <c r="AT14" s="25">
        <v>43</v>
      </c>
      <c r="AU14" s="25">
        <v>44</v>
      </c>
      <c r="AV14" s="25">
        <v>45</v>
      </c>
      <c r="AW14" s="25">
        <v>46</v>
      </c>
      <c r="AX14" s="25">
        <v>47</v>
      </c>
      <c r="AY14" s="25">
        <v>48</v>
      </c>
      <c r="AZ14" s="25">
        <v>49</v>
      </c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</row>
    <row r="15" spans="3:113" ht="13.5" thickBot="1">
      <c r="C15" s="26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2" t="s">
        <v>28</v>
      </c>
      <c r="BB15" s="32" t="s">
        <v>29</v>
      </c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</row>
    <row r="16" spans="3:113" ht="15" thickBot="1" thickTop="1">
      <c r="C16" s="26">
        <v>1</v>
      </c>
      <c r="D16" s="31" t="s">
        <v>30</v>
      </c>
      <c r="E16" s="31" t="s">
        <v>30</v>
      </c>
      <c r="F16" s="31" t="s">
        <v>30</v>
      </c>
      <c r="G16" s="31" t="s">
        <v>30</v>
      </c>
      <c r="H16" s="31" t="s">
        <v>30</v>
      </c>
      <c r="I16" s="31" t="s">
        <v>30</v>
      </c>
      <c r="J16" s="31" t="s">
        <v>30</v>
      </c>
      <c r="K16" s="31" t="s">
        <v>30</v>
      </c>
      <c r="L16" s="31" t="s">
        <v>30</v>
      </c>
      <c r="M16" s="31" t="s">
        <v>30</v>
      </c>
      <c r="N16" s="31" t="s">
        <v>30</v>
      </c>
      <c r="O16" s="31" t="s">
        <v>30</v>
      </c>
      <c r="P16" s="31" t="s">
        <v>30</v>
      </c>
      <c r="Q16" s="31" t="s">
        <v>30</v>
      </c>
      <c r="R16" s="31" t="s">
        <v>30</v>
      </c>
      <c r="S16" s="31" t="s">
        <v>30</v>
      </c>
      <c r="T16" s="31" t="s">
        <v>30</v>
      </c>
      <c r="U16" s="31" t="s">
        <v>30</v>
      </c>
      <c r="V16" s="31" t="s">
        <v>30</v>
      </c>
      <c r="W16" s="31" t="s">
        <v>30</v>
      </c>
      <c r="X16" s="31" t="s">
        <v>30</v>
      </c>
      <c r="Y16" s="31" t="s">
        <v>30</v>
      </c>
      <c r="Z16" s="31" t="s">
        <v>30</v>
      </c>
      <c r="AA16" s="31" t="s">
        <v>30</v>
      </c>
      <c r="AB16" s="31" t="s">
        <v>30</v>
      </c>
      <c r="AC16" s="31" t="s">
        <v>30</v>
      </c>
      <c r="AD16" s="31" t="s">
        <v>30</v>
      </c>
      <c r="AE16" s="31" t="s">
        <v>30</v>
      </c>
      <c r="AF16" s="31" t="s">
        <v>30</v>
      </c>
      <c r="AG16" s="31" t="s">
        <v>30</v>
      </c>
      <c r="AH16" s="31" t="s">
        <v>30</v>
      </c>
      <c r="AI16" s="31" t="s">
        <v>30</v>
      </c>
      <c r="AJ16" s="31" t="s">
        <v>30</v>
      </c>
      <c r="AK16" s="31" t="s">
        <v>30</v>
      </c>
      <c r="AL16" s="31" t="s">
        <v>30</v>
      </c>
      <c r="AM16" s="31" t="s">
        <v>30</v>
      </c>
      <c r="AN16" s="31" t="s">
        <v>30</v>
      </c>
      <c r="AO16" s="31" t="s">
        <v>30</v>
      </c>
      <c r="AP16" s="31" t="s">
        <v>30</v>
      </c>
      <c r="AQ16" s="31" t="s">
        <v>30</v>
      </c>
      <c r="AR16" s="31" t="s">
        <v>30</v>
      </c>
      <c r="AS16" s="31" t="s">
        <v>30</v>
      </c>
      <c r="AT16" s="31" t="s">
        <v>30</v>
      </c>
      <c r="AU16" s="31" t="s">
        <v>30</v>
      </c>
      <c r="AV16" s="31" t="s">
        <v>30</v>
      </c>
      <c r="AW16" s="31" t="s">
        <v>30</v>
      </c>
      <c r="AX16" s="31" t="s">
        <v>30</v>
      </c>
      <c r="AY16" s="31" t="s">
        <v>30</v>
      </c>
      <c r="AZ16" s="33">
        <v>0</v>
      </c>
      <c r="BA16" s="34">
        <v>67.34</v>
      </c>
      <c r="BB16" s="34">
        <v>14.53</v>
      </c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</row>
    <row r="17" spans="3:113" ht="15" thickBot="1" thickTop="1">
      <c r="C17" s="26">
        <v>2</v>
      </c>
      <c r="D17" s="31">
        <f>SQRT((INDEX(US_x,2)-INDEX(US_x,1))^2+(INDEX(US_y,2)-INDEX(US_y,1))^2)</f>
        <v>47.26653149957166</v>
      </c>
      <c r="E17" s="31" t="s">
        <v>30</v>
      </c>
      <c r="F17" s="31">
        <f>SQRT((INDEX(US_x,2)-INDEX(US_x,3))^2+(INDEX(US_y,2)-INDEX(US_y,3))^2)</f>
        <v>35.87423169909008</v>
      </c>
      <c r="G17" s="31">
        <f>SQRT((INDEX(US_x,2)-INDEX(US_x,4))^2+(INDEX(US_y,2)-INDEX(US_y,4))^2)</f>
        <v>20.11662247992938</v>
      </c>
      <c r="H17" s="31">
        <f>SQRT((INDEX(US_x,2)-INDEX(US_x,5))^2+(INDEX(US_y,2)-INDEX(US_y,5))^2)</f>
        <v>18.41400825458705</v>
      </c>
      <c r="I17" s="31">
        <f>SQRT((INDEX(US_x,2)-INDEX(US_x,6))^2+(INDEX(US_y,2)-INDEX(US_y,6))^2)</f>
        <v>69.76770671306318</v>
      </c>
      <c r="J17" s="31">
        <f>SQRT((INDEX(US_x,2)-INDEX(US_x,7))^2+(INDEX(US_y,2)-INDEX(US_y,7))^2)</f>
        <v>65.0000276923018</v>
      </c>
      <c r="K17" s="31">
        <f>SQRT((INDEX(US_x,2)-INDEX(US_x,8))^2+(INDEX(US_y,2)-INDEX(US_y,8))^2)</f>
        <v>51.868668770270176</v>
      </c>
      <c r="L17" s="31">
        <f>SQRT((INDEX(US_x,2)-INDEX(US_x,9))^2+(INDEX(US_y,2)-INDEX(US_y,9))^2)</f>
        <v>50.27708225424384</v>
      </c>
      <c r="M17" s="31">
        <f>SQRT((INDEX(US_x,2)-INDEX(US_x,10))^2+(INDEX(US_y,2)-INDEX(US_y,10))^2)</f>
        <v>23.268351896943624</v>
      </c>
      <c r="N17" s="31">
        <f>SQRT((INDEX(US_x,2)-INDEX(US_x,11))^2+(INDEX(US_y,2)-INDEX(US_y,11))^2)</f>
        <v>41.478236462029095</v>
      </c>
      <c r="O17" s="31">
        <f>SQRT((INDEX(US_x,2)-INDEX(US_x,12))^2+(INDEX(US_y,2)-INDEX(US_y,12))^2)</f>
        <v>47.22743376470926</v>
      </c>
      <c r="P17" s="31">
        <f>SQRT((INDEX(US_x,2)-INDEX(US_x,13))^2+(INDEX(US_y,2)-INDEX(US_y,13))^2)</f>
        <v>36.3491746811396</v>
      </c>
      <c r="Q17" s="31">
        <f>SQRT((INDEX(US_x,2)-INDEX(US_x,14))^2+(INDEX(US_y,2)-INDEX(US_y,14))^2)</f>
        <v>31.241424423351763</v>
      </c>
      <c r="R17" s="31">
        <f>SQRT((INDEX(US_x,2)-INDEX(US_x,15))^2+(INDEX(US_y,2)-INDEX(US_y,15))^2)</f>
        <v>49.061109852917106</v>
      </c>
      <c r="S17" s="31">
        <f>SQRT((INDEX(US_x,2)-INDEX(US_x,16))^2+(INDEX(US_y,2)-INDEX(US_y,16))^2)</f>
        <v>39.296510023156</v>
      </c>
      <c r="T17" s="31">
        <f>SQRT((INDEX(US_x,2)-INDEX(US_x,17))^2+(INDEX(US_y,2)-INDEX(US_y,17))^2)</f>
        <v>74.62785002932887</v>
      </c>
      <c r="U17" s="31">
        <f>SQRT((INDEX(US_x,2)-INDEX(US_x,18))^2+(INDEX(US_y,2)-INDEX(US_y,18))^2)</f>
        <v>63.37100362153026</v>
      </c>
      <c r="V17" s="31">
        <f>SQRT((INDEX(US_x,2)-INDEX(US_x,19))^2+(INDEX(US_y,2)-INDEX(US_y,19))^2)</f>
        <v>72.42331806814708</v>
      </c>
      <c r="W17" s="31">
        <f>SQRT((INDEX(US_x,2)-INDEX(US_x,20))^2+(INDEX(US_y,2)-INDEX(US_y,20))^2)</f>
        <v>51.04555808295174</v>
      </c>
      <c r="X17" s="31">
        <f>SQRT((INDEX(US_x,2)-INDEX(US_x,21))^2+(INDEX(US_y,2)-INDEX(US_y,21))^2)</f>
        <v>40.42942121772212</v>
      </c>
      <c r="Y17" s="31">
        <f>SQRT((INDEX(US_x,2)-INDEX(US_x,22))^2+(INDEX(US_y,2)-INDEX(US_y,22))^2)</f>
        <v>40.21370910522928</v>
      </c>
      <c r="Z17" s="31">
        <f>SQRT((INDEX(US_x,2)-INDEX(US_x,23))^2+(INDEX(US_y,2)-INDEX(US_y,23))^2)</f>
        <v>36.762399268818136</v>
      </c>
      <c r="AA17" s="31">
        <f>SQRT((INDEX(US_x,2)-INDEX(US_x,24))^2+(INDEX(US_y,2)-INDEX(US_y,24))^2)</f>
        <v>28.6258641790951</v>
      </c>
      <c r="AB17" s="31">
        <f>SQRT((INDEX(US_x,2)-INDEX(US_x,25))^2+(INDEX(US_y,2)-INDEX(US_y,25))^2)</f>
        <v>31.059330321177242</v>
      </c>
      <c r="AC17" s="31">
        <f>SQRT((INDEX(US_x,2)-INDEX(US_x,26))^2+(INDEX(US_y,2)-INDEX(US_y,26))^2)</f>
        <v>18.491565644909574</v>
      </c>
      <c r="AD17" s="31">
        <f>SQRT((INDEX(US_x,2)-INDEX(US_x,27))^2+(INDEX(US_y,2)-INDEX(US_y,27))^2)</f>
        <v>71.72877037841928</v>
      </c>
      <c r="AE17" s="31">
        <f>SQRT((INDEX(US_x,2)-INDEX(US_x,28))^2+(INDEX(US_y,2)-INDEX(US_y,28))^2)</f>
        <v>66.29004827272341</v>
      </c>
      <c r="AF17" s="31">
        <f>SQRT((INDEX(US_x,2)-INDEX(US_x,29))^2+(INDEX(US_y,2)-INDEX(US_y,29))^2)</f>
        <v>12.03184108937614</v>
      </c>
      <c r="AG17" s="31">
        <f>SQRT((INDEX(US_x,2)-INDEX(US_x,30))^2+(INDEX(US_y,2)-INDEX(US_y,30))^2)</f>
        <v>68.13088653466943</v>
      </c>
      <c r="AH17" s="31">
        <f>SQRT((INDEX(US_x,2)-INDEX(US_x,31))^2+(INDEX(US_y,2)-INDEX(US_y,31))^2)</f>
        <v>60.005853881100634</v>
      </c>
      <c r="AI17" s="31">
        <f>SQRT((INDEX(US_x,2)-INDEX(US_x,32))^2+(INDEX(US_y,2)-INDEX(US_y,32))^2)</f>
        <v>34.46907164401153</v>
      </c>
      <c r="AJ17" s="31">
        <f>SQRT((INDEX(US_x,2)-INDEX(US_x,33))^2+(INDEX(US_y,2)-INDEX(US_y,33))^2)</f>
        <v>52.52220292409678</v>
      </c>
      <c r="AK17" s="31">
        <f>SQRT((INDEX(US_x,2)-INDEX(US_x,34))^2+(INDEX(US_y,2)-INDEX(US_y,34))^2)</f>
        <v>26.555543677356713</v>
      </c>
      <c r="AL17" s="31">
        <f>SQRT((INDEX(US_x,2)-INDEX(US_x,35))^2+(INDEX(US_y,2)-INDEX(US_y,35))^2)</f>
        <v>31.225848267100766</v>
      </c>
      <c r="AM17" s="31">
        <f>SQRT((INDEX(US_x,2)-INDEX(US_x,36))^2+(INDEX(US_y,2)-INDEX(US_y,36))^2)</f>
        <v>62.734030637286494</v>
      </c>
      <c r="AN17" s="31">
        <f>SQRT((INDEX(US_x,2)-INDEX(US_x,37))^2+(INDEX(US_y,2)-INDEX(US_y,37))^2)</f>
        <v>71.82761725130524</v>
      </c>
      <c r="AO17" s="31">
        <f>SQRT((INDEX(US_x,2)-INDEX(US_x,38))^2+(INDEX(US_y,2)-INDEX(US_y,38))^2)</f>
        <v>56.21924670430938</v>
      </c>
      <c r="AP17" s="31">
        <f>SQRT((INDEX(US_x,2)-INDEX(US_x,39))^2+(INDEX(US_y,2)-INDEX(US_y,39))^2)</f>
        <v>30.84114459613975</v>
      </c>
      <c r="AQ17" s="31">
        <f>SQRT((INDEX(US_x,2)-INDEX(US_x,40))^2+(INDEX(US_y,2)-INDEX(US_y,40))^2)</f>
        <v>45.630109576901084</v>
      </c>
      <c r="AR17" s="31">
        <f>SQRT((INDEX(US_x,2)-INDEX(US_x,41))^2+(INDEX(US_y,2)-INDEX(US_y,41))^2)</f>
        <v>27.550687831703954</v>
      </c>
      <c r="AS17" s="33">
        <f>SQRT((INDEX(US_x,2)-INDEX(US_x,42))^2+(INDEX(US_y,2)-INDEX(US_y,42))^2)</f>
        <v>15.909022597255936</v>
      </c>
      <c r="AT17" s="31">
        <f>SQRT((INDEX(US_x,2)-INDEX(US_x,43))^2+(INDEX(US_y,2)-INDEX(US_y,43))^2)</f>
        <v>70.26701217498862</v>
      </c>
      <c r="AU17" s="31">
        <f>SQRT((INDEX(US_x,2)-INDEX(US_x,44))^2+(INDEX(US_y,2)-INDEX(US_y,44))^2)</f>
        <v>61.85678378318744</v>
      </c>
      <c r="AV17" s="31">
        <f>SQRT((INDEX(US_x,2)-INDEX(US_x,45))^2+(INDEX(US_y,2)-INDEX(US_y,45))^2)</f>
        <v>34.71208002986856</v>
      </c>
      <c r="AW17" s="31">
        <f>SQRT((INDEX(US_x,2)-INDEX(US_x,46))^2+(INDEX(US_y,2)-INDEX(US_y,46))^2)</f>
        <v>54.60747659432726</v>
      </c>
      <c r="AX17" s="31">
        <f>SQRT((INDEX(US_x,2)-INDEX(US_x,47))^2+(INDEX(US_y,2)-INDEX(US_y,47))^2)</f>
        <v>43.890554792574676</v>
      </c>
      <c r="AY17" s="31">
        <f>SQRT((INDEX(US_x,2)-INDEX(US_x,48))^2+(INDEX(US_y,2)-INDEX(US_y,48))^2)</f>
        <v>20.872766946430463</v>
      </c>
      <c r="AZ17" s="31" t="s">
        <v>30</v>
      </c>
      <c r="BA17" s="34">
        <v>22.33</v>
      </c>
      <c r="BB17" s="34">
        <v>0.1</v>
      </c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</row>
    <row r="18" spans="3:113" ht="15" thickBot="1" thickTop="1">
      <c r="C18" s="26">
        <v>3</v>
      </c>
      <c r="D18" s="31">
        <f>SQRT((INDEX(US_x,3)-INDEX(US_x,1))^2+(INDEX(US_y,3)-INDEX(US_y,1))^2)</f>
        <v>12.043492018513573</v>
      </c>
      <c r="E18" s="31">
        <f>SQRT((INDEX(US_x,3)-INDEX(US_x,2))^2+(INDEX(US_y,3)-INDEX(US_y,2))^2)</f>
        <v>35.87423169909008</v>
      </c>
      <c r="F18" s="31" t="s">
        <v>30</v>
      </c>
      <c r="G18" s="31">
        <f>SQRT((INDEX(US_x,3)-INDEX(US_x,4))^2+(INDEX(US_y,3)-INDEX(US_y,4))^2)</f>
        <v>51.62027702366581</v>
      </c>
      <c r="H18" s="31">
        <f>SQRT((INDEX(US_x,3)-INDEX(US_x,5))^2+(INDEX(US_y,3)-INDEX(US_y,5))^2)</f>
        <v>24.578657408410248</v>
      </c>
      <c r="I18" s="31">
        <f>SQRT((INDEX(US_x,3)-INDEX(US_x,6))^2+(INDEX(US_y,3)-INDEX(US_y,6))^2)</f>
        <v>36.77395817694908</v>
      </c>
      <c r="J18" s="31">
        <f>SQRT((INDEX(US_x,3)-INDEX(US_x,7))^2+(INDEX(US_y,3)-INDEX(US_y,7))^2)</f>
        <v>30.70360402298076</v>
      </c>
      <c r="K18" s="31">
        <f>SQRT((INDEX(US_x,3)-INDEX(US_x,8))^2+(INDEX(US_y,3)-INDEX(US_y,8))^2)</f>
        <v>17.419991389205688</v>
      </c>
      <c r="L18" s="31">
        <f>SQRT((INDEX(US_x,3)-INDEX(US_x,9))^2+(INDEX(US_y,3)-INDEX(US_y,9))^2)</f>
        <v>14.435875449725943</v>
      </c>
      <c r="M18" s="31">
        <f>SQRT((INDEX(US_x,3)-INDEX(US_x,10))^2+(INDEX(US_y,3)-INDEX(US_y,10))^2)</f>
        <v>44.619893545368306</v>
      </c>
      <c r="N18" s="31">
        <f>SQRT((INDEX(US_x,3)-INDEX(US_x,11))^2+(INDEX(US_y,3)-INDEX(US_y,11))^2)</f>
        <v>11.836249405956263</v>
      </c>
      <c r="O18" s="31">
        <f>SQRT((INDEX(US_x,3)-INDEX(US_x,12))^2+(INDEX(US_y,3)-INDEX(US_y,12))^2)</f>
        <v>15.199611837149002</v>
      </c>
      <c r="P18" s="31">
        <f>SQRT((INDEX(US_x,3)-INDEX(US_x,13))^2+(INDEX(US_y,3)-INDEX(US_y,13))^2)</f>
        <v>14.971559704987314</v>
      </c>
      <c r="Q18" s="31">
        <f>SQRT((INDEX(US_x,3)-INDEX(US_x,14))^2+(INDEX(US_y,3)-INDEX(US_y,14))^2)</f>
        <v>11.027443039979849</v>
      </c>
      <c r="R18" s="31">
        <f>SQRT((INDEX(US_x,3)-INDEX(US_x,15))^2+(INDEX(US_y,3)-INDEX(US_y,15))^2)</f>
        <v>15.008564221803496</v>
      </c>
      <c r="S18" s="31">
        <f>SQRT((INDEX(US_x,3)-INDEX(US_x,16))^2+(INDEX(US_y,3)-INDEX(US_y,16))^2)</f>
        <v>9.502389173255326</v>
      </c>
      <c r="T18" s="31">
        <f>SQRT((INDEX(US_x,3)-INDEX(US_x,17))^2+(INDEX(US_y,3)-INDEX(US_y,17))^2)</f>
        <v>42.97459831109536</v>
      </c>
      <c r="U18" s="31">
        <f>SQRT((INDEX(US_x,3)-INDEX(US_x,18))^2+(INDEX(US_y,3)-INDEX(US_y,18))^2)</f>
        <v>29.024437979054824</v>
      </c>
      <c r="V18" s="31">
        <f>SQRT((INDEX(US_x,3)-INDEX(US_x,19))^2+(INDEX(US_y,3)-INDEX(US_y,19))^2)</f>
        <v>39.66384373708629</v>
      </c>
      <c r="W18" s="31">
        <f>SQRT((INDEX(US_x,3)-INDEX(US_x,20))^2+(INDEX(US_y,3)-INDEX(US_y,20))^2)</f>
        <v>21.68794365540449</v>
      </c>
      <c r="X18" s="31">
        <f>SQRT((INDEX(US_x,3)-INDEX(US_x,21))^2+(INDEX(US_y,3)-INDEX(US_y,21))^2)</f>
        <v>22.08898820679661</v>
      </c>
      <c r="Y18" s="31">
        <f>SQRT((INDEX(US_x,3)-INDEX(US_x,22))^2+(INDEX(US_y,3)-INDEX(US_y,22))^2)</f>
        <v>6.516417727555533</v>
      </c>
      <c r="Z18" s="31">
        <f>SQRT((INDEX(US_x,3)-INDEX(US_x,23))^2+(INDEX(US_y,3)-INDEX(US_y,23))^2)</f>
        <v>8.271184921158513</v>
      </c>
      <c r="AA18" s="31">
        <f>SQRT((INDEX(US_x,3)-INDEX(US_x,24))^2+(INDEX(US_y,3)-INDEX(US_y,24))^2)</f>
        <v>41.35799076357554</v>
      </c>
      <c r="AB18" s="31">
        <f>SQRT((INDEX(US_x,3)-INDEX(US_x,25))^2+(INDEX(US_y,3)-INDEX(US_y,25))^2)</f>
        <v>15.17278155118566</v>
      </c>
      <c r="AC18" s="31">
        <f>SQRT((INDEX(US_x,3)-INDEX(US_x,26))^2+(INDEX(US_y,3)-INDEX(US_y,26))^2)</f>
        <v>48.72961009488994</v>
      </c>
      <c r="AD18" s="31">
        <f>SQRT((INDEX(US_x,3)-INDEX(US_x,27))^2+(INDEX(US_y,3)-INDEX(US_y,27))^2)</f>
        <v>39.530557800263836</v>
      </c>
      <c r="AE18" s="31">
        <f>SQRT((INDEX(US_x,3)-INDEX(US_x,28))^2+(INDEX(US_y,3)-INDEX(US_y,28))^2)</f>
        <v>32.53055486769323</v>
      </c>
      <c r="AF18" s="31">
        <f>SQRT((INDEX(US_x,3)-INDEX(US_x,29))^2+(INDEX(US_y,3)-INDEX(US_y,29))^2)</f>
        <v>24.45983033465277</v>
      </c>
      <c r="AG18" s="31">
        <f>SQRT((INDEX(US_x,3)-INDEX(US_x,30))^2+(INDEX(US_y,3)-INDEX(US_y,30))^2)</f>
        <v>35.80280435943531</v>
      </c>
      <c r="AH18" s="31">
        <f>SQRT((INDEX(US_x,3)-INDEX(US_x,31))^2+(INDEX(US_y,3)-INDEX(US_y,31))^2)</f>
        <v>24.405642790141798</v>
      </c>
      <c r="AI18" s="31">
        <f>SQRT((INDEX(US_x,3)-INDEX(US_x,32))^2+(INDEX(US_y,3)-INDEX(US_y,32))^2)</f>
        <v>29.596259898845318</v>
      </c>
      <c r="AJ18" s="31">
        <f>SQRT((INDEX(US_x,3)-INDEX(US_x,33))^2+(INDEX(US_y,3)-INDEX(US_y,33))^2)</f>
        <v>19.651506303589052</v>
      </c>
      <c r="AK18" s="31">
        <f>SQRT((INDEX(US_x,3)-INDEX(US_x,34))^2+(INDEX(US_y,3)-INDEX(US_y,34))^2)</f>
        <v>9.492944748601458</v>
      </c>
      <c r="AL18" s="31">
        <f>SQRT((INDEX(US_x,3)-INDEX(US_x,35))^2+(INDEX(US_y,3)-INDEX(US_y,35))^2)</f>
        <v>55.63660036342983</v>
      </c>
      <c r="AM18" s="31">
        <f>SQRT((INDEX(US_x,3)-INDEX(US_x,36))^2+(INDEX(US_y,3)-INDEX(US_y,36))^2)</f>
        <v>29.150555740843092</v>
      </c>
      <c r="AN18" s="31">
        <f>SQRT((INDEX(US_x,3)-INDEX(US_x,37))^2+(INDEX(US_y,3)-INDEX(US_y,37))^2)</f>
        <v>38.77765464800573</v>
      </c>
      <c r="AO18" s="31">
        <f>SQRT((INDEX(US_x,3)-INDEX(US_x,38))^2+(INDEX(US_y,3)-INDEX(US_y,38))^2)</f>
        <v>20.345623608039155</v>
      </c>
      <c r="AP18" s="31">
        <f>SQRT((INDEX(US_x,3)-INDEX(US_x,39))^2+(INDEX(US_y,3)-INDEX(US_y,39))^2)</f>
        <v>24.81963134295108</v>
      </c>
      <c r="AQ18" s="33">
        <f>SQRT((INDEX(US_x,3)-INDEX(US_x,40))^2+(INDEX(US_y,3)-INDEX(US_y,40))^2)</f>
        <v>10.269381675641434</v>
      </c>
      <c r="AR18" s="31">
        <f>SQRT((INDEX(US_x,3)-INDEX(US_x,41))^2+(INDEX(US_y,3)-INDEX(US_y,41))^2)</f>
        <v>13.94876697059636</v>
      </c>
      <c r="AS18" s="31">
        <f>SQRT((INDEX(US_x,3)-INDEX(US_x,42))^2+(INDEX(US_y,3)-INDEX(US_y,42))^2)</f>
        <v>36.169076571015744</v>
      </c>
      <c r="AT18" s="31">
        <f>SQRT((INDEX(US_x,3)-INDEX(US_x,43))^2+(INDEX(US_y,3)-INDEX(US_y,43))^2)</f>
        <v>38.90774344523208</v>
      </c>
      <c r="AU18" s="31">
        <f>SQRT((INDEX(US_x,3)-INDEX(US_x,44))^2+(INDEX(US_y,3)-INDEX(US_y,44))^2)</f>
        <v>26.852683292363917</v>
      </c>
      <c r="AV18" s="31">
        <f>SQRT((INDEX(US_x,3)-INDEX(US_x,45))^2+(INDEX(US_y,3)-INDEX(US_y,45))^2)</f>
        <v>56.60203529909503</v>
      </c>
      <c r="AW18" s="31">
        <f>SQRT((INDEX(US_x,3)-INDEX(US_x,46))^2+(INDEX(US_y,3)-INDEX(US_y,46))^2)</f>
        <v>20.22990360827258</v>
      </c>
      <c r="AX18" s="31">
        <f>SQRT((INDEX(US_x,3)-INDEX(US_x,47))^2+(INDEX(US_y,3)-INDEX(US_y,47))^2)</f>
        <v>18.66167463010755</v>
      </c>
      <c r="AY18" s="31">
        <f>SQRT((INDEX(US_x,3)-INDEX(US_x,48))^2+(INDEX(US_y,3)-INDEX(US_y,48))^2)</f>
        <v>25.59955663678572</v>
      </c>
      <c r="AZ18" s="31" t="s">
        <v>30</v>
      </c>
      <c r="BA18" s="34">
        <v>55.3</v>
      </c>
      <c r="BB18" s="34">
        <v>14.24</v>
      </c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</row>
    <row r="19" spans="3:113" ht="15" thickBot="1" thickTop="1">
      <c r="C19" s="26">
        <v>4</v>
      </c>
      <c r="D19" s="31">
        <f>SQRT((INDEX(US_x,4)-INDEX(US_x,1))^2+(INDEX(US_y,4)-INDEX(US_y,1))^2)</f>
        <v>63.62502102160754</v>
      </c>
      <c r="E19" s="31">
        <f>SQRT((INDEX(US_x,4)-INDEX(US_x,2))^2+(INDEX(US_y,4)-INDEX(US_y,2))^2)</f>
        <v>20.11662247992938</v>
      </c>
      <c r="F19" s="31">
        <f>SQRT((INDEX(US_x,4)-INDEX(US_x,3))^2+(INDEX(US_y,4)-INDEX(US_y,3))^2)</f>
        <v>51.62027702366581</v>
      </c>
      <c r="G19" s="31" t="s">
        <v>30</v>
      </c>
      <c r="H19" s="31">
        <f>SQRT((INDEX(US_x,4)-INDEX(US_x,5))^2+(INDEX(US_y,4)-INDEX(US_y,5))^2)</f>
        <v>27.986728997866116</v>
      </c>
      <c r="I19" s="31">
        <f>SQRT((INDEX(US_x,4)-INDEX(US_x,6))^2+(INDEX(US_y,4)-INDEX(US_y,6))^2)</f>
        <v>80.63717380960223</v>
      </c>
      <c r="J19" s="31">
        <f>SQRT((INDEX(US_x,4)-INDEX(US_x,7))^2+(INDEX(US_y,4)-INDEX(US_y,7))^2)</f>
        <v>77.26785165901794</v>
      </c>
      <c r="K19" s="31">
        <f>SQRT((INDEX(US_x,4)-INDEX(US_x,8))^2+(INDEX(US_y,4)-INDEX(US_y,8))^2)</f>
        <v>68.7726871657637</v>
      </c>
      <c r="L19" s="31">
        <f>SQRT((INDEX(US_x,4)-INDEX(US_x,9))^2+(INDEX(US_y,4)-INDEX(US_y,9))^2)</f>
        <v>65.8034535567853</v>
      </c>
      <c r="M19" s="31">
        <f>SQRT((INDEX(US_x,4)-INDEX(US_x,10))^2+(INDEX(US_y,4)-INDEX(US_y,10))^2)</f>
        <v>14.017078868294918</v>
      </c>
      <c r="N19" s="31">
        <f>SQRT((INDEX(US_x,4)-INDEX(US_x,11))^2+(INDEX(US_y,4)-INDEX(US_y,11))^2)</f>
        <v>53.656047189482756</v>
      </c>
      <c r="O19" s="31">
        <f>SQRT((INDEX(US_x,4)-INDEX(US_x,12))^2+(INDEX(US_y,4)-INDEX(US_y,12))^2)</f>
        <v>59.4598755464557</v>
      </c>
      <c r="P19" s="31">
        <f>SQRT((INDEX(US_x,4)-INDEX(US_x,13))^2+(INDEX(US_y,4)-INDEX(US_y,13))^2)</f>
        <v>46.789864287044054</v>
      </c>
      <c r="Q19" s="31">
        <f>SQRT((INDEX(US_x,4)-INDEX(US_x,14))^2+(INDEX(US_y,4)-INDEX(US_y,14))^2)</f>
        <v>43.77003198536642</v>
      </c>
      <c r="R19" s="31">
        <f>SQRT((INDEX(US_x,4)-INDEX(US_x,15))^2+(INDEX(US_y,4)-INDEX(US_y,15))^2)</f>
        <v>62.2477951416755</v>
      </c>
      <c r="S19" s="31">
        <f>SQRT((INDEX(US_x,4)-INDEX(US_x,16))^2+(INDEX(US_y,4)-INDEX(US_y,16))^2)</f>
        <v>57.08591770305528</v>
      </c>
      <c r="T19" s="31">
        <f>SQRT((INDEX(US_x,4)-INDEX(US_x,17))^2+(INDEX(US_y,4)-INDEX(US_y,17))^2)</f>
        <v>84.16991683493575</v>
      </c>
      <c r="U19" s="31">
        <f>SQRT((INDEX(US_x,4)-INDEX(US_x,18))^2+(INDEX(US_y,4)-INDEX(US_y,18))^2)</f>
        <v>75.7725029281731</v>
      </c>
      <c r="V19" s="31">
        <f>SQRT((INDEX(US_x,4)-INDEX(US_x,19))^2+(INDEX(US_y,4)-INDEX(US_y,19))^2)</f>
        <v>82.95389382060372</v>
      </c>
      <c r="W19" s="31">
        <f>SQRT((INDEX(US_x,4)-INDEX(US_x,20))^2+(INDEX(US_y,4)-INDEX(US_y,20))^2)</f>
        <v>61.3493284396822</v>
      </c>
      <c r="X19" s="31">
        <f>SQRT((INDEX(US_x,4)-INDEX(US_x,21))^2+(INDEX(US_y,4)-INDEX(US_y,21))^2)</f>
        <v>48.01406877155903</v>
      </c>
      <c r="Y19" s="31">
        <f>SQRT((INDEX(US_x,4)-INDEX(US_x,22))^2+(INDEX(US_y,4)-INDEX(US_y,22))^2)</f>
        <v>57.063439258425355</v>
      </c>
      <c r="Z19" s="31">
        <f>SQRT((INDEX(US_x,4)-INDEX(US_x,23))^2+(INDEX(US_y,4)-INDEX(US_y,23))^2)</f>
        <v>49.81875650796596</v>
      </c>
      <c r="AA19" s="31">
        <f>SQRT((INDEX(US_x,4)-INDEX(US_x,24))^2+(INDEX(US_y,4)-INDEX(US_y,24))^2)</f>
        <v>23.218199757948504</v>
      </c>
      <c r="AB19" s="31">
        <f>SQRT((INDEX(US_x,4)-INDEX(US_x,25))^2+(INDEX(US_y,4)-INDEX(US_y,25))^2)</f>
        <v>41.77343294487538</v>
      </c>
      <c r="AC19" s="31">
        <f>SQRT((INDEX(US_x,4)-INDEX(US_x,26))^2+(INDEX(US_y,4)-INDEX(US_y,26))^2)</f>
        <v>3.19845275094068</v>
      </c>
      <c r="AD19" s="31">
        <f>SQRT((INDEX(US_x,4)-INDEX(US_x,27))^2+(INDEX(US_y,4)-INDEX(US_y,27))^2)</f>
        <v>81.85609323685073</v>
      </c>
      <c r="AE19" s="31">
        <f>SQRT((INDEX(US_x,4)-INDEX(US_x,28))^2+(INDEX(US_y,4)-INDEX(US_y,28))^2)</f>
        <v>77.99948717780136</v>
      </c>
      <c r="AF19" s="31">
        <f>SQRT((INDEX(US_x,4)-INDEX(US_x,29))^2+(INDEX(US_y,4)-INDEX(US_y,29))^2)</f>
        <v>27.773010279766215</v>
      </c>
      <c r="AG19" s="31">
        <f>SQRT((INDEX(US_x,4)-INDEX(US_x,30))^2+(INDEX(US_y,4)-INDEX(US_y,30))^2)</f>
        <v>78.5802939673809</v>
      </c>
      <c r="AH19" s="31">
        <f>SQRT((INDEX(US_x,4)-INDEX(US_x,31))^2+(INDEX(US_y,4)-INDEX(US_y,31))^2)</f>
        <v>74.07991360686107</v>
      </c>
      <c r="AI19" s="31">
        <f>SQRT((INDEX(US_x,4)-INDEX(US_x,32))^2+(INDEX(US_y,4)-INDEX(US_y,32))^2)</f>
        <v>37.62928646679339</v>
      </c>
      <c r="AJ19" s="31">
        <f>SQRT((INDEX(US_x,4)-INDEX(US_x,33))^2+(INDEX(US_y,4)-INDEX(US_y,33))^2)</f>
        <v>64.60561043748446</v>
      </c>
      <c r="AK19" s="31">
        <f>SQRT((INDEX(US_x,4)-INDEX(US_x,34))^2+(INDEX(US_y,4)-INDEX(US_y,34))^2)</f>
        <v>42.22120083559917</v>
      </c>
      <c r="AL19" s="33">
        <f>SQRT((INDEX(US_x,4)-INDEX(US_x,35))^2+(INDEX(US_y,4)-INDEX(US_y,35))^2)</f>
        <v>14.26011570780546</v>
      </c>
      <c r="AM19" s="31">
        <f>SQRT((INDEX(US_x,4)-INDEX(US_x,36))^2+(INDEX(US_y,4)-INDEX(US_y,36))^2)</f>
        <v>74.50721642901445</v>
      </c>
      <c r="AN19" s="31">
        <f>SQRT((INDEX(US_x,4)-INDEX(US_x,37))^2+(INDEX(US_y,4)-INDEX(US_y,37))^2)</f>
        <v>82.62979910419728</v>
      </c>
      <c r="AO19" s="31">
        <f>SQRT((INDEX(US_x,4)-INDEX(US_x,38))^2+(INDEX(US_y,4)-INDEX(US_y,38))^2)</f>
        <v>71.30391994834505</v>
      </c>
      <c r="AP19" s="31">
        <f>SQRT((INDEX(US_x,4)-INDEX(US_x,39))^2+(INDEX(US_y,4)-INDEX(US_y,39))^2)</f>
        <v>36.68382886232025</v>
      </c>
      <c r="AQ19" s="31">
        <f>SQRT((INDEX(US_x,4)-INDEX(US_x,40))^2+(INDEX(US_y,4)-INDEX(US_y,40))^2)</f>
        <v>60.109347026897574</v>
      </c>
      <c r="AR19" s="31">
        <f>SQRT((INDEX(US_x,4)-INDEX(US_x,41))^2+(INDEX(US_y,4)-INDEX(US_y,41))^2)</f>
        <v>46.37289833512674</v>
      </c>
      <c r="AS19" s="31">
        <f>SQRT((INDEX(US_x,4)-INDEX(US_x,42))^2+(INDEX(US_y,4)-INDEX(US_y,42))^2)</f>
        <v>16.808358039975232</v>
      </c>
      <c r="AT19" s="31">
        <f>SQRT((INDEX(US_x,4)-INDEX(US_x,43))^2+(INDEX(US_y,4)-INDEX(US_y,43))^2)</f>
        <v>79.86739322151436</v>
      </c>
      <c r="AU19" s="31">
        <f>SQRT((INDEX(US_x,4)-INDEX(US_x,44))^2+(INDEX(US_y,4)-INDEX(US_y,44))^2)</f>
        <v>75.01604361734894</v>
      </c>
      <c r="AV19" s="31">
        <f>SQRT((INDEX(US_x,4)-INDEX(US_x,45))^2+(INDEX(US_y,4)-INDEX(US_y,45))^2)</f>
        <v>18.761945528116215</v>
      </c>
      <c r="AW19" s="31">
        <f>SQRT((INDEX(US_x,4)-INDEX(US_x,46))^2+(INDEX(US_y,4)-INDEX(US_y,46))^2)</f>
        <v>67.57805856933149</v>
      </c>
      <c r="AX19" s="31">
        <f>SQRT((INDEX(US_x,4)-INDEX(US_x,47))^2+(INDEX(US_y,4)-INDEX(US_y,47))^2)</f>
        <v>53.59901584917395</v>
      </c>
      <c r="AY19" s="31">
        <f>SQRT((INDEX(US_x,4)-INDEX(US_x,48))^2+(INDEX(US_y,4)-INDEX(US_y,48))^2)</f>
        <v>28.437800547862345</v>
      </c>
      <c r="AZ19" s="31" t="s">
        <v>30</v>
      </c>
      <c r="BA19" s="34">
        <v>4.01</v>
      </c>
      <c r="BB19" s="34">
        <v>8.41</v>
      </c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</row>
    <row r="20" spans="3:113" ht="15" thickBot="1" thickTop="1">
      <c r="C20" s="26">
        <v>5</v>
      </c>
      <c r="D20" s="31">
        <f>SQRT((INDEX(US_x,5)-INDEX(US_x,1))^2+(INDEX(US_y,5)-INDEX(US_y,1))^2)</f>
        <v>36.569912496477215</v>
      </c>
      <c r="E20" s="31">
        <f>SQRT((INDEX(US_x,5)-INDEX(US_x,2))^2+(INDEX(US_y,5)-INDEX(US_y,2))^2)</f>
        <v>18.41400825458705</v>
      </c>
      <c r="F20" s="31">
        <f>SQRT((INDEX(US_x,5)-INDEX(US_x,3))^2+(INDEX(US_y,5)-INDEX(US_y,3))^2)</f>
        <v>24.578657408410248</v>
      </c>
      <c r="G20" s="31">
        <f>SQRT((INDEX(US_x,5)-INDEX(US_x,4))^2+(INDEX(US_y,5)-INDEX(US_y,4))^2)</f>
        <v>27.986728997866116</v>
      </c>
      <c r="H20" s="31" t="s">
        <v>30</v>
      </c>
      <c r="I20" s="31">
        <f>SQRT((INDEX(US_x,5)-INDEX(US_x,6))^2+(INDEX(US_y,5)-INDEX(US_y,6))^2)</f>
        <v>53.29472018877667</v>
      </c>
      <c r="J20" s="31">
        <f>SQRT((INDEX(US_x,5)-INDEX(US_x,7))^2+(INDEX(US_y,5)-INDEX(US_y,7))^2)</f>
        <v>49.45934188805994</v>
      </c>
      <c r="K20" s="31">
        <f>SQRT((INDEX(US_x,5)-INDEX(US_x,8))^2+(INDEX(US_y,5)-INDEX(US_y,8))^2)</f>
        <v>41.998648787788404</v>
      </c>
      <c r="L20" s="31">
        <f>SQRT((INDEX(US_x,5)-INDEX(US_x,9))^2+(INDEX(US_y,5)-INDEX(US_y,9))^2)</f>
        <v>38.23602620566107</v>
      </c>
      <c r="M20" s="31">
        <f>SQRT((INDEX(US_x,5)-INDEX(US_x,10))^2+(INDEX(US_y,5)-INDEX(US_y,10))^2)</f>
        <v>20.111998906125667</v>
      </c>
      <c r="N20" s="31">
        <f>SQRT((INDEX(US_x,5)-INDEX(US_x,11))^2+(INDEX(US_y,5)-INDEX(US_y,11))^2)</f>
        <v>25.72632892583005</v>
      </c>
      <c r="O20" s="31">
        <f>SQRT((INDEX(US_x,5)-INDEX(US_x,12))^2+(INDEX(US_y,5)-INDEX(US_y,12))^2)</f>
        <v>31.56119452745729</v>
      </c>
      <c r="P20" s="31">
        <f>SQRT((INDEX(US_x,5)-INDEX(US_x,13))^2+(INDEX(US_y,5)-INDEX(US_y,13))^2)</f>
        <v>19.23090221492481</v>
      </c>
      <c r="Q20" s="31">
        <f>SQRT((INDEX(US_x,5)-INDEX(US_x,14))^2+(INDEX(US_y,5)-INDEX(US_y,14))^2)</f>
        <v>15.791709850424683</v>
      </c>
      <c r="R20" s="31">
        <f>SQRT((INDEX(US_x,5)-INDEX(US_x,15))^2+(INDEX(US_y,5)-INDEX(US_y,15))^2)</f>
        <v>34.263312741181345</v>
      </c>
      <c r="S20" s="31">
        <f>SQRT((INDEX(US_x,5)-INDEX(US_x,16))^2+(INDEX(US_y,5)-INDEX(US_y,16))^2)</f>
        <v>31.782463718220463</v>
      </c>
      <c r="T20" s="31">
        <f>SQRT((INDEX(US_x,5)-INDEX(US_x,17))^2+(INDEX(US_y,5)-INDEX(US_y,17))^2)</f>
        <v>57.483424567435094</v>
      </c>
      <c r="U20" s="31">
        <f>SQRT((INDEX(US_x,5)-INDEX(US_x,18))^2+(INDEX(US_y,5)-INDEX(US_y,18))^2)</f>
        <v>47.92840076614282</v>
      </c>
      <c r="V20" s="31">
        <f>SQRT((INDEX(US_x,5)-INDEX(US_x,19))^2+(INDEX(US_y,5)-INDEX(US_y,19))^2)</f>
        <v>55.769831450345976</v>
      </c>
      <c r="W20" s="31">
        <f>SQRT((INDEX(US_x,5)-INDEX(US_x,20))^2+(INDEX(US_y,5)-INDEX(US_y,20))^2)</f>
        <v>34.08227251812883</v>
      </c>
      <c r="X20" s="31">
        <f>SQRT((INDEX(US_x,5)-INDEX(US_x,21))^2+(INDEX(US_y,5)-INDEX(US_y,21))^2)</f>
        <v>22.222569608395872</v>
      </c>
      <c r="Y20" s="31">
        <f>SQRT((INDEX(US_x,5)-INDEX(US_x,22))^2+(INDEX(US_y,5)-INDEX(US_y,22))^2)</f>
        <v>30.658631737244896</v>
      </c>
      <c r="Z20" s="31">
        <f>SQRT((INDEX(US_x,5)-INDEX(US_x,23))^2+(INDEX(US_y,5)-INDEX(US_y,23))^2)</f>
        <v>21.84292333915037</v>
      </c>
      <c r="AA20" s="31">
        <f>SQRT((INDEX(US_x,5)-INDEX(US_x,24))^2+(INDEX(US_y,5)-INDEX(US_y,24))^2)</f>
        <v>18.592541515349644</v>
      </c>
      <c r="AB20" s="31">
        <f>SQRT((INDEX(US_x,5)-INDEX(US_x,25))^2+(INDEX(US_y,5)-INDEX(US_y,25))^2)</f>
        <v>14.001103527936646</v>
      </c>
      <c r="AC20" s="31">
        <f>SQRT((INDEX(US_x,5)-INDEX(US_x,26))^2+(INDEX(US_y,5)-INDEX(US_y,26))^2)</f>
        <v>24.90119073458135</v>
      </c>
      <c r="AD20" s="31">
        <f>SQRT((INDEX(US_x,5)-INDEX(US_x,27))^2+(INDEX(US_y,5)-INDEX(US_y,27))^2)</f>
        <v>54.8528522503616</v>
      </c>
      <c r="AE20" s="31">
        <f>SQRT((INDEX(US_x,5)-INDEX(US_x,28))^2+(INDEX(US_y,5)-INDEX(US_y,28))^2)</f>
        <v>50.34307300910424</v>
      </c>
      <c r="AF20" s="31">
        <f>SQRT((INDEX(US_x,5)-INDEX(US_x,29))^2+(INDEX(US_y,5)-INDEX(US_y,29))^2)</f>
        <v>8.930671867222536</v>
      </c>
      <c r="AG20" s="31">
        <f>SQRT((INDEX(US_x,5)-INDEX(US_x,30))^2+(INDEX(US_y,5)-INDEX(US_y,30))^2)</f>
        <v>51.404225507247936</v>
      </c>
      <c r="AH20" s="31">
        <f>SQRT((INDEX(US_x,5)-INDEX(US_x,31))^2+(INDEX(US_y,5)-INDEX(US_y,31))^2)</f>
        <v>46.105333747843105</v>
      </c>
      <c r="AI20" s="31">
        <f>SQRT((INDEX(US_x,5)-INDEX(US_x,32))^2+(INDEX(US_y,5)-INDEX(US_y,32))^2)</f>
        <v>16.689787296427713</v>
      </c>
      <c r="AJ20" s="31">
        <f>SQRT((INDEX(US_x,5)-INDEX(US_x,33))^2+(INDEX(US_y,5)-INDEX(US_y,33))^2)</f>
        <v>36.769793309182475</v>
      </c>
      <c r="AK20" s="33">
        <f>SQRT((INDEX(US_x,5)-INDEX(US_x,34))^2+(INDEX(US_y,5)-INDEX(US_y,34))^2)</f>
        <v>15.898402435465016</v>
      </c>
      <c r="AL20" s="31">
        <f>SQRT((INDEX(US_x,5)-INDEX(US_x,35))^2+(INDEX(US_y,5)-INDEX(US_y,35))^2)</f>
        <v>31.12019440813312</v>
      </c>
      <c r="AM20" s="31">
        <f>SQRT((INDEX(US_x,5)-INDEX(US_x,36))^2+(INDEX(US_y,5)-INDEX(US_y,36))^2)</f>
        <v>46.81215760889472</v>
      </c>
      <c r="AN20" s="31">
        <f>SQRT((INDEX(US_x,5)-INDEX(US_x,37))^2+(INDEX(US_y,5)-INDEX(US_y,37))^2)</f>
        <v>55.327028656887045</v>
      </c>
      <c r="AO20" s="31">
        <f>SQRT((INDEX(US_x,5)-INDEX(US_x,38))^2+(INDEX(US_y,5)-INDEX(US_y,38))^2)</f>
        <v>43.515629376121865</v>
      </c>
      <c r="AP20" s="31">
        <f>SQRT((INDEX(US_x,5)-INDEX(US_x,39))^2+(INDEX(US_y,5)-INDEX(US_y,39))^2)</f>
        <v>12.513308914911356</v>
      </c>
      <c r="AQ20" s="31">
        <f>SQRT((INDEX(US_x,5)-INDEX(US_x,40))^2+(INDEX(US_y,5)-INDEX(US_y,40))^2)</f>
        <v>32.26577443669995</v>
      </c>
      <c r="AR20" s="31">
        <f>SQRT((INDEX(US_x,5)-INDEX(US_x,41))^2+(INDEX(US_y,5)-INDEX(US_y,41))^2)</f>
        <v>24.25577250882767</v>
      </c>
      <c r="AS20" s="31">
        <f>SQRT((INDEX(US_x,5)-INDEX(US_x,42))^2+(INDEX(US_y,5)-INDEX(US_y,42))^2)</f>
        <v>11.684096028362656</v>
      </c>
      <c r="AT20" s="31">
        <f>SQRT((INDEX(US_x,5)-INDEX(US_x,43))^2+(INDEX(US_y,5)-INDEX(US_y,43))^2)</f>
        <v>53.12083301304677</v>
      </c>
      <c r="AU20" s="31">
        <f>SQRT((INDEX(US_x,5)-INDEX(US_x,44))^2+(INDEX(US_y,5)-INDEX(US_y,44))^2)</f>
        <v>47.055662783558795</v>
      </c>
      <c r="AV20" s="31">
        <f>SQRT((INDEX(US_x,5)-INDEX(US_x,45))^2+(INDEX(US_y,5)-INDEX(US_y,45))^2)</f>
        <v>32.40711033091349</v>
      </c>
      <c r="AW20" s="31">
        <f>SQRT((INDEX(US_x,5)-INDEX(US_x,46))^2+(INDEX(US_y,5)-INDEX(US_y,46))^2)</f>
        <v>39.61745322455747</v>
      </c>
      <c r="AX20" s="31">
        <f>SQRT((INDEX(US_x,5)-INDEX(US_x,47))^2+(INDEX(US_y,5)-INDEX(US_y,47))^2)</f>
        <v>26.509630325600543</v>
      </c>
      <c r="AY20" s="31">
        <f>SQRT((INDEX(US_x,5)-INDEX(US_x,48))^2+(INDEX(US_y,5)-INDEX(US_y,48))^2)</f>
        <v>3.0378446306550972</v>
      </c>
      <c r="AZ20" s="31" t="s">
        <v>30</v>
      </c>
      <c r="BA20" s="34">
        <v>30.82</v>
      </c>
      <c r="BB20" s="34">
        <v>16.44</v>
      </c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</row>
    <row r="21" spans="3:113" ht="15" thickBot="1" thickTop="1">
      <c r="C21" s="26">
        <v>6</v>
      </c>
      <c r="D21" s="31">
        <f>SQRT((INDEX(US_x,6)-INDEX(US_x,1))^2+(INDEX(US_y,6)-INDEX(US_y,1))^2)</f>
        <v>31.295208898487957</v>
      </c>
      <c r="E21" s="31">
        <f>SQRT((INDEX(US_x,6)-INDEX(US_x,2))^2+(INDEX(US_y,6)-INDEX(US_y,2))^2)</f>
        <v>69.76770671306318</v>
      </c>
      <c r="F21" s="31">
        <f>SQRT((INDEX(US_x,6)-INDEX(US_x,3))^2+(INDEX(US_y,6)-INDEX(US_y,3))^2)</f>
        <v>36.77395817694908</v>
      </c>
      <c r="G21" s="31">
        <f>SQRT((INDEX(US_x,6)-INDEX(US_x,4))^2+(INDEX(US_y,6)-INDEX(US_y,4))^2)</f>
        <v>80.63717380960223</v>
      </c>
      <c r="H21" s="31">
        <f>SQRT((INDEX(US_x,6)-INDEX(US_x,5))^2+(INDEX(US_y,6)-INDEX(US_y,5))^2)</f>
        <v>53.29472018877667</v>
      </c>
      <c r="I21" s="31" t="s">
        <v>30</v>
      </c>
      <c r="J21" s="31">
        <f>SQRT((INDEX(US_x,6)-INDEX(US_x,7))^2+(INDEX(US_y,6)-INDEX(US_y,7))^2)</f>
        <v>7.428250130414297</v>
      </c>
      <c r="K21" s="31">
        <f>SQRT((INDEX(US_x,6)-INDEX(US_x,8))^2+(INDEX(US_y,6)-INDEX(US_y,8))^2)</f>
        <v>32.083872895895844</v>
      </c>
      <c r="L21" s="31">
        <f>SQRT((INDEX(US_x,6)-INDEX(US_x,9))^2+(INDEX(US_y,6)-INDEX(US_y,9))^2)</f>
        <v>26.69162602765144</v>
      </c>
      <c r="M21" s="31">
        <f>SQRT((INDEX(US_x,6)-INDEX(US_x,10))^2+(INDEX(US_y,6)-INDEX(US_y,10))^2)</f>
        <v>69.28296832555601</v>
      </c>
      <c r="N21" s="31">
        <f>SQRT((INDEX(US_x,6)-INDEX(US_x,11))^2+(INDEX(US_y,6)-INDEX(US_y,11))^2)</f>
        <v>28.301067117690103</v>
      </c>
      <c r="O21" s="31">
        <f>SQRT((INDEX(US_x,6)-INDEX(US_x,12))^2+(INDEX(US_y,6)-INDEX(US_y,12))^2)</f>
        <v>22.656976850409674</v>
      </c>
      <c r="P21" s="31">
        <f>SQRT((INDEX(US_x,6)-INDEX(US_x,13))^2+(INDEX(US_y,6)-INDEX(US_y,13))^2)</f>
        <v>34.065026053123745</v>
      </c>
      <c r="Q21" s="31">
        <f>SQRT((INDEX(US_x,6)-INDEX(US_x,14))^2+(INDEX(US_y,6)-INDEX(US_y,14))^2)</f>
        <v>38.531733674985354</v>
      </c>
      <c r="R21" s="31">
        <f>SQRT((INDEX(US_x,6)-INDEX(US_x,15))^2+(INDEX(US_y,6)-INDEX(US_y,15))^2)</f>
        <v>21.773254235414605</v>
      </c>
      <c r="S21" s="31">
        <f>SQRT((INDEX(US_x,6)-INDEX(US_x,16))^2+(INDEX(US_y,6)-INDEX(US_y,16))^2)</f>
        <v>40.75478131458934</v>
      </c>
      <c r="T21" s="31">
        <f>SQRT((INDEX(US_x,6)-INDEX(US_x,17))^2+(INDEX(US_y,6)-INDEX(US_y,17))^2)</f>
        <v>7.2600619832064845</v>
      </c>
      <c r="U21" s="31">
        <f>SQRT((INDEX(US_x,6)-INDEX(US_x,18))^2+(INDEX(US_y,6)-INDEX(US_y,18))^2)</f>
        <v>8.801931606187358</v>
      </c>
      <c r="V21" s="31">
        <f>SQRT((INDEX(US_x,6)-INDEX(US_x,19))^2+(INDEX(US_y,6)-INDEX(US_y,19))^2)</f>
        <v>2.92576485726382</v>
      </c>
      <c r="W21" s="31">
        <f>SQRT((INDEX(US_x,6)-INDEX(US_x,20))^2+(INDEX(US_y,6)-INDEX(US_y,20))^2)</f>
        <v>19.29215643726745</v>
      </c>
      <c r="X21" s="31">
        <f>SQRT((INDEX(US_x,6)-INDEX(US_x,21))^2+(INDEX(US_y,6)-INDEX(US_y,21))^2)</f>
        <v>33.09312013092752</v>
      </c>
      <c r="Y21" s="31">
        <f>SQRT((INDEX(US_x,6)-INDEX(US_x,22))^2+(INDEX(US_y,6)-INDEX(US_y,22))^2)</f>
        <v>36.71532786180725</v>
      </c>
      <c r="Z21" s="31">
        <f>SQRT((INDEX(US_x,6)-INDEX(US_x,23))^2+(INDEX(US_y,6)-INDEX(US_y,23))^2)</f>
        <v>33.141299008940486</v>
      </c>
      <c r="AA21" s="31">
        <f>SQRT((INDEX(US_x,6)-INDEX(US_x,24))^2+(INDEX(US_y,6)-INDEX(US_y,24))^2)</f>
        <v>61.983728509988815</v>
      </c>
      <c r="AB21" s="31">
        <f>SQRT((INDEX(US_x,6)-INDEX(US_x,25))^2+(INDEX(US_y,6)-INDEX(US_y,25))^2)</f>
        <v>39.31805819213354</v>
      </c>
      <c r="AC21" s="31">
        <f>SQRT((INDEX(US_x,6)-INDEX(US_x,26))^2+(INDEX(US_y,6)-INDEX(US_y,26))^2)</f>
        <v>77.44855905696375</v>
      </c>
      <c r="AD21" s="31">
        <f>SQRT((INDEX(US_x,6)-INDEX(US_x,27))^2+(INDEX(US_y,6)-INDEX(US_y,27))^2)</f>
        <v>3.648698398059231</v>
      </c>
      <c r="AE21" s="33">
        <f>SQRT((INDEX(US_x,6)-INDEX(US_x,28))^2+(INDEX(US_y,6)-INDEX(US_y,28))^2)</f>
        <v>4.816824680222435</v>
      </c>
      <c r="AF21" s="31">
        <f>SQRT((INDEX(US_x,6)-INDEX(US_x,29))^2+(INDEX(US_y,6)-INDEX(US_y,29))^2)</f>
        <v>57.73955749743844</v>
      </c>
      <c r="AG21" s="31">
        <f>SQRT((INDEX(US_x,6)-INDEX(US_x,30))^2+(INDEX(US_y,6)-INDEX(US_y,30))^2)</f>
        <v>2.604611295375956</v>
      </c>
      <c r="AH21" s="31">
        <f>SQRT((INDEX(US_x,6)-INDEX(US_x,31))^2+(INDEX(US_y,6)-INDEX(US_y,31))^2)</f>
        <v>16.581972138439983</v>
      </c>
      <c r="AI21" s="31">
        <f>SQRT((INDEX(US_x,6)-INDEX(US_x,32))^2+(INDEX(US_y,6)-INDEX(US_y,32))^2)</f>
        <v>45.12779409632161</v>
      </c>
      <c r="AJ21" s="31">
        <f>SQRT((INDEX(US_x,6)-INDEX(US_x,33))^2+(INDEX(US_y,6)-INDEX(US_y,33))^2)</f>
        <v>17.459521757482356</v>
      </c>
      <c r="AK21" s="31">
        <f>SQRT((INDEX(US_x,6)-INDEX(US_x,34))^2+(INDEX(US_y,6)-INDEX(US_y,34))^2)</f>
        <v>44.30304729925471</v>
      </c>
      <c r="AL21" s="31">
        <f>SQRT((INDEX(US_x,6)-INDEX(US_x,35))^2+(INDEX(US_y,6)-INDEX(US_y,35))^2)</f>
        <v>79.09411419315599</v>
      </c>
      <c r="AM21" s="31">
        <f>SQRT((INDEX(US_x,6)-INDEX(US_x,36))^2+(INDEX(US_y,6)-INDEX(US_y,36))^2)</f>
        <v>7.685317169772497</v>
      </c>
      <c r="AN21" s="31">
        <f>SQRT((INDEX(US_x,6)-INDEX(US_x,37))^2+(INDEX(US_y,6)-INDEX(US_y,37))^2)</f>
        <v>2.061188977265314</v>
      </c>
      <c r="AO21" s="31">
        <f>SQRT((INDEX(US_x,6)-INDEX(US_x,38))^2+(INDEX(US_y,6)-INDEX(US_y,38))^2)</f>
        <v>22.245116317969657</v>
      </c>
      <c r="AP21" s="31">
        <f>SQRT((INDEX(US_x,6)-INDEX(US_x,39))^2+(INDEX(US_y,6)-INDEX(US_y,39))^2)</f>
        <v>44.34074537037012</v>
      </c>
      <c r="AQ21" s="31">
        <f>SQRT((INDEX(US_x,6)-INDEX(US_x,40))^2+(INDEX(US_y,6)-INDEX(US_y,40))^2)</f>
        <v>26.802794630411206</v>
      </c>
      <c r="AR21" s="31">
        <f>SQRT((INDEX(US_x,6)-INDEX(US_x,41))^2+(INDEX(US_y,6)-INDEX(US_y,41))^2)</f>
        <v>50.52252270027695</v>
      </c>
      <c r="AS21" s="31">
        <f>SQRT((INDEX(US_x,6)-INDEX(US_x,42))^2+(INDEX(US_y,6)-INDEX(US_y,42))^2)</f>
        <v>63.83195516353859</v>
      </c>
      <c r="AT21" s="31">
        <f>SQRT((INDEX(US_x,6)-INDEX(US_x,43))^2+(INDEX(US_y,6)-INDEX(US_y,43))^2)</f>
        <v>5.49604403184691</v>
      </c>
      <c r="AU21" s="31">
        <f>SQRT((INDEX(US_x,6)-INDEX(US_x,44))^2+(INDEX(US_y,6)-INDEX(US_y,44))^2)</f>
        <v>12.230134913401402</v>
      </c>
      <c r="AV21" s="31">
        <f>SQRT((INDEX(US_x,6)-INDEX(US_x,45))^2+(INDEX(US_y,6)-INDEX(US_y,45))^2)</f>
        <v>78.0417375511335</v>
      </c>
      <c r="AW21" s="31">
        <f>SQRT((INDEX(US_x,6)-INDEX(US_x,46))^2+(INDEX(US_y,6)-INDEX(US_y,46))^2)</f>
        <v>16.696784121500762</v>
      </c>
      <c r="AX21" s="31">
        <f>SQRT((INDEX(US_x,6)-INDEX(US_x,47))^2+(INDEX(US_y,6)-INDEX(US_y,47))^2)</f>
        <v>27.038729629921594</v>
      </c>
      <c r="AY21" s="31">
        <f>SQRT((INDEX(US_x,6)-INDEX(US_x,48))^2+(INDEX(US_y,6)-INDEX(US_y,48))^2)</f>
        <v>52.29959942485219</v>
      </c>
      <c r="AZ21" s="31" t="s">
        <v>30</v>
      </c>
      <c r="BA21" s="34">
        <v>76.08</v>
      </c>
      <c r="BB21" s="34">
        <v>44.58</v>
      </c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</row>
    <row r="22" spans="3:113" ht="15" thickBot="1" thickTop="1">
      <c r="C22" s="26">
        <v>7</v>
      </c>
      <c r="D22" s="31">
        <f>SQRT((INDEX(US_x,7)-INDEX(US_x,1))^2+(INDEX(US_y,7)-INDEX(US_y,1))^2)</f>
        <v>24.135223222502</v>
      </c>
      <c r="E22" s="31">
        <f>SQRT((INDEX(US_x,7)-INDEX(US_x,2))^2+(INDEX(US_y,7)-INDEX(US_y,2))^2)</f>
        <v>65.0000276923018</v>
      </c>
      <c r="F22" s="31">
        <f>SQRT((INDEX(US_x,7)-INDEX(US_x,3))^2+(INDEX(US_y,7)-INDEX(US_y,3))^2)</f>
        <v>30.70360402298076</v>
      </c>
      <c r="G22" s="31">
        <f>SQRT((INDEX(US_x,7)-INDEX(US_x,4))^2+(INDEX(US_y,7)-INDEX(US_y,4))^2)</f>
        <v>77.26785165901794</v>
      </c>
      <c r="H22" s="31">
        <f>SQRT((INDEX(US_x,7)-INDEX(US_x,5))^2+(INDEX(US_y,7)-INDEX(US_y,5))^2)</f>
        <v>49.45934188805994</v>
      </c>
      <c r="I22" s="31">
        <f>SQRT((INDEX(US_x,7)-INDEX(US_x,6))^2+(INDEX(US_y,7)-INDEX(US_y,6))^2)</f>
        <v>7.428250130414297</v>
      </c>
      <c r="J22" s="31" t="s">
        <v>30</v>
      </c>
      <c r="K22" s="31">
        <f>SQRT((INDEX(US_x,7)-INDEX(US_x,8))^2+(INDEX(US_y,7)-INDEX(US_y,8))^2)</f>
        <v>24.672997385806205</v>
      </c>
      <c r="L22" s="31">
        <f>SQRT((INDEX(US_x,7)-INDEX(US_x,9))^2+(INDEX(US_y,7)-INDEX(US_y,9))^2)</f>
        <v>19.51457404095718</v>
      </c>
      <c r="M22" s="31">
        <f>SQRT((INDEX(US_x,7)-INDEX(US_x,10))^2+(INDEX(US_y,7)-INDEX(US_y,10))^2)</f>
        <v>66.72586455041252</v>
      </c>
      <c r="N22" s="31">
        <f>SQRT((INDEX(US_x,7)-INDEX(US_x,11))^2+(INDEX(US_y,7)-INDEX(US_y,11))^2)</f>
        <v>23.79732127782453</v>
      </c>
      <c r="O22" s="31">
        <f>SQRT((INDEX(US_x,7)-INDEX(US_x,12))^2+(INDEX(US_y,7)-INDEX(US_y,12))^2)</f>
        <v>17.94353644073542</v>
      </c>
      <c r="P22" s="31">
        <f>SQRT((INDEX(US_x,7)-INDEX(US_x,13))^2+(INDEX(US_y,7)-INDEX(US_y,13))^2)</f>
        <v>30.504840599485192</v>
      </c>
      <c r="Q22" s="31">
        <f>SQRT((INDEX(US_x,7)-INDEX(US_x,14))^2+(INDEX(US_y,7)-INDEX(US_y,14))^2)</f>
        <v>34.04890893993522</v>
      </c>
      <c r="R22" s="31">
        <f>SQRT((INDEX(US_x,7)-INDEX(US_x,15))^2+(INDEX(US_y,7)-INDEX(US_y,15))^2)</f>
        <v>16.03173415448248</v>
      </c>
      <c r="S22" s="31">
        <f>SQRT((INDEX(US_x,7)-INDEX(US_x,16))^2+(INDEX(US_y,7)-INDEX(US_y,16))^2)</f>
        <v>33.81325923362017</v>
      </c>
      <c r="T22" s="31">
        <f>SQRT((INDEX(US_x,7)-INDEX(US_x,17))^2+(INDEX(US_y,7)-INDEX(US_y,17))^2)</f>
        <v>14.684917432522397</v>
      </c>
      <c r="U22" s="33">
        <f>SQRT((INDEX(US_x,7)-INDEX(US_x,18))^2+(INDEX(US_y,7)-INDEX(US_y,18))^2)</f>
        <v>1.6791962362987818</v>
      </c>
      <c r="V22" s="31">
        <f>SQRT((INDEX(US_x,7)-INDEX(US_x,19))^2+(INDEX(US_y,7)-INDEX(US_y,19))^2)</f>
        <v>10.194753552685812</v>
      </c>
      <c r="W22" s="31">
        <f>SQRT((INDEX(US_x,7)-INDEX(US_x,20))^2+(INDEX(US_y,7)-INDEX(US_y,20))^2)</f>
        <v>16.801648728621846</v>
      </c>
      <c r="X22" s="31">
        <f>SQRT((INDEX(US_x,7)-INDEX(US_x,21))^2+(INDEX(US_y,7)-INDEX(US_y,21))^2)</f>
        <v>31.09422615213314</v>
      </c>
      <c r="Y22" s="31">
        <f>SQRT((INDEX(US_x,7)-INDEX(US_x,22))^2+(INDEX(US_y,7)-INDEX(US_y,22))^2)</f>
        <v>29.929951553585916</v>
      </c>
      <c r="Z22" s="31">
        <f>SQRT((INDEX(US_x,7)-INDEX(US_x,23))^2+(INDEX(US_y,7)-INDEX(US_y,23))^2)</f>
        <v>28.264875729427857</v>
      </c>
      <c r="AA22" s="31">
        <f>SQRT((INDEX(US_x,7)-INDEX(US_x,24))^2+(INDEX(US_y,7)-INDEX(US_y,24))^2)</f>
        <v>60.08847560056754</v>
      </c>
      <c r="AB22" s="31">
        <f>SQRT((INDEX(US_x,7)-INDEX(US_x,25))^2+(INDEX(US_y,7)-INDEX(US_y,25))^2)</f>
        <v>35.51055054487328</v>
      </c>
      <c r="AC22" s="31">
        <f>SQRT((INDEX(US_x,7)-INDEX(US_x,26))^2+(INDEX(US_y,7)-INDEX(US_y,26))^2)</f>
        <v>74.11241731316015</v>
      </c>
      <c r="AD22" s="31">
        <f>SQRT((INDEX(US_x,7)-INDEX(US_x,27))^2+(INDEX(US_y,7)-INDEX(US_y,27))^2)</f>
        <v>11.031468623895915</v>
      </c>
      <c r="AE22" s="31">
        <f>SQRT((INDEX(US_x,7)-INDEX(US_x,28))^2+(INDEX(US_y,7)-INDEX(US_y,28))^2)</f>
        <v>2.669250831225877</v>
      </c>
      <c r="AF22" s="31">
        <f>SQRT((INDEX(US_x,7)-INDEX(US_x,29))^2+(INDEX(US_y,7)-INDEX(US_y,29))^2)</f>
        <v>52.99661876006809</v>
      </c>
      <c r="AG22" s="31">
        <f>SQRT((INDEX(US_x,7)-INDEX(US_x,30))^2+(INDEX(US_y,7)-INDEX(US_y,30))^2)</f>
        <v>8.20329811722091</v>
      </c>
      <c r="AH22" s="31">
        <f>SQRT((INDEX(US_x,7)-INDEX(US_x,31))^2+(INDEX(US_y,7)-INDEX(US_y,31))^2)</f>
        <v>9.154283150525764</v>
      </c>
      <c r="AI22" s="31">
        <f>SQRT((INDEX(US_x,7)-INDEX(US_x,32))^2+(INDEX(US_y,7)-INDEX(US_y,32))^2)</f>
        <v>43.47471103986776</v>
      </c>
      <c r="AJ22" s="31">
        <f>SQRT((INDEX(US_x,7)-INDEX(US_x,33))^2+(INDEX(US_y,7)-INDEX(US_y,33))^2)</f>
        <v>12.690382184946202</v>
      </c>
      <c r="AK22" s="31">
        <f>SQRT((INDEX(US_x,7)-INDEX(US_x,34))^2+(INDEX(US_y,7)-INDEX(US_y,34))^2)</f>
        <v>38.899291767331704</v>
      </c>
      <c r="AL22" s="31">
        <f>SQRT((INDEX(US_x,7)-INDEX(US_x,35))^2+(INDEX(US_y,7)-INDEX(US_y,35))^2)</f>
        <v>76.97564549907977</v>
      </c>
      <c r="AM22" s="31">
        <f>SQRT((INDEX(US_x,7)-INDEX(US_x,36))^2+(INDEX(US_y,7)-INDEX(US_y,36))^2)</f>
        <v>3.3104984518951226</v>
      </c>
      <c r="AN22" s="31">
        <f>SQRT((INDEX(US_x,7)-INDEX(US_x,37))^2+(INDEX(US_y,7)-INDEX(US_y,37))^2)</f>
        <v>8.990895394786891</v>
      </c>
      <c r="AO22" s="31">
        <f>SQRT((INDEX(US_x,7)-INDEX(US_x,38))^2+(INDEX(US_y,7)-INDEX(US_y,38))^2)</f>
        <v>14.830863090191341</v>
      </c>
      <c r="AP22" s="31">
        <f>SQRT((INDEX(US_x,7)-INDEX(US_x,39))^2+(INDEX(US_y,7)-INDEX(US_y,39))^2)</f>
        <v>41.840996642049525</v>
      </c>
      <c r="AQ22" s="31">
        <f>SQRT((INDEX(US_x,7)-INDEX(US_x,40))^2+(INDEX(US_y,7)-INDEX(US_y,40))^2)</f>
        <v>20.481125457357074</v>
      </c>
      <c r="AR22" s="31">
        <f>SQRT((INDEX(US_x,7)-INDEX(US_x,41))^2+(INDEX(US_y,7)-INDEX(US_y,41))^2)</f>
        <v>44.14240591540067</v>
      </c>
      <c r="AS22" s="31">
        <f>SQRT((INDEX(US_x,7)-INDEX(US_x,42))^2+(INDEX(US_y,7)-INDEX(US_y,42))^2)</f>
        <v>60.507237583614746</v>
      </c>
      <c r="AT22" s="31">
        <f>SQRT((INDEX(US_x,7)-INDEX(US_x,43))^2+(INDEX(US_y,7)-INDEX(US_y,43))^2)</f>
        <v>12.187444358847353</v>
      </c>
      <c r="AU22" s="31">
        <f>SQRT((INDEX(US_x,7)-INDEX(US_x,44))^2+(INDEX(US_y,7)-INDEX(US_y,44))^2)</f>
        <v>4.812743500333252</v>
      </c>
      <c r="AV22" s="31">
        <f>SQRT((INDEX(US_x,7)-INDEX(US_x,45))^2+(INDEX(US_y,7)-INDEX(US_y,45))^2)</f>
        <v>76.34171140339993</v>
      </c>
      <c r="AW22" s="31">
        <f>SQRT((INDEX(US_x,7)-INDEX(US_x,46))^2+(INDEX(US_y,7)-INDEX(US_y,46))^2)</f>
        <v>10.533209387456424</v>
      </c>
      <c r="AX22" s="31">
        <f>SQRT((INDEX(US_x,7)-INDEX(US_x,47))^2+(INDEX(US_y,7)-INDEX(US_y,47))^2)</f>
        <v>24.31523802063225</v>
      </c>
      <c r="AY22" s="31">
        <f>SQRT((INDEX(US_x,7)-INDEX(US_x,48))^2+(INDEX(US_y,7)-INDEX(US_y,48))^2)</f>
        <v>48.83602768448719</v>
      </c>
      <c r="AZ22" s="31" t="s">
        <v>30</v>
      </c>
      <c r="BA22" s="34">
        <v>75.73</v>
      </c>
      <c r="BB22" s="34">
        <v>37.16</v>
      </c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</row>
    <row r="23" spans="3:113" ht="15" thickBot="1" thickTop="1">
      <c r="C23" s="26">
        <v>8</v>
      </c>
      <c r="D23" s="33">
        <f>SQRT((INDEX(US_x,8)-INDEX(US_x,1))^2+(INDEX(US_y,8)-INDEX(US_y,1))^2)</f>
        <v>5.623041881401918</v>
      </c>
      <c r="E23" s="31">
        <f>SQRT((INDEX(US_x,8)-INDEX(US_x,2))^2+(INDEX(US_y,8)-INDEX(US_y,2))^2)</f>
        <v>51.868668770270176</v>
      </c>
      <c r="F23" s="31">
        <f>SQRT((INDEX(US_x,8)-INDEX(US_x,3))^2+(INDEX(US_y,8)-INDEX(US_y,3))^2)</f>
        <v>17.419991389205688</v>
      </c>
      <c r="G23" s="31">
        <f>SQRT((INDEX(US_x,8)-INDEX(US_x,4))^2+(INDEX(US_y,8)-INDEX(US_y,4))^2)</f>
        <v>68.7726871657637</v>
      </c>
      <c r="H23" s="31">
        <f>SQRT((INDEX(US_x,8)-INDEX(US_x,5))^2+(INDEX(US_y,8)-INDEX(US_y,5))^2)</f>
        <v>41.998648787788404</v>
      </c>
      <c r="I23" s="31">
        <f>SQRT((INDEX(US_x,8)-INDEX(US_x,6))^2+(INDEX(US_y,8)-INDEX(US_y,6))^2)</f>
        <v>32.083872895895844</v>
      </c>
      <c r="J23" s="31">
        <f>SQRT((INDEX(US_x,8)-INDEX(US_x,7))^2+(INDEX(US_y,8)-INDEX(US_y,7))^2)</f>
        <v>24.672997385806205</v>
      </c>
      <c r="K23" s="31" t="s">
        <v>30</v>
      </c>
      <c r="L23" s="31">
        <f>SQRT((INDEX(US_x,8)-INDEX(US_x,9))^2+(INDEX(US_y,8)-INDEX(US_y,9))^2)</f>
        <v>7.178983214912821</v>
      </c>
      <c r="M23" s="31">
        <f>SQRT((INDEX(US_x,8)-INDEX(US_x,10))^2+(INDEX(US_y,8)-INDEX(US_y,10))^2)</f>
        <v>62.02368096138765</v>
      </c>
      <c r="N23" s="31">
        <f>SQRT((INDEX(US_x,8)-INDEX(US_x,11))^2+(INDEX(US_y,8)-INDEX(US_y,11))^2)</f>
        <v>22.404135778913684</v>
      </c>
      <c r="O23" s="31">
        <f>SQRT((INDEX(US_x,8)-INDEX(US_x,12))^2+(INDEX(US_y,8)-INDEX(US_y,12))^2)</f>
        <v>20.504148360758613</v>
      </c>
      <c r="P23" s="31">
        <f>SQRT((INDEX(US_x,8)-INDEX(US_x,13))^2+(INDEX(US_y,8)-INDEX(US_y,13))^2)</f>
        <v>29.19814548905461</v>
      </c>
      <c r="Q23" s="31">
        <f>SQRT((INDEX(US_x,8)-INDEX(US_x,14))^2+(INDEX(US_y,8)-INDEX(US_y,14))^2)</f>
        <v>27.616476965753623</v>
      </c>
      <c r="R23" s="31">
        <f>SQRT((INDEX(US_x,8)-INDEX(US_x,15))^2+(INDEX(US_y,8)-INDEX(US_y,15))^2)</f>
        <v>16.866976611117952</v>
      </c>
      <c r="S23" s="31">
        <f>SQRT((INDEX(US_x,8)-INDEX(US_x,16))^2+(INDEX(US_y,8)-INDEX(US_y,16))^2)</f>
        <v>13.0375035953974</v>
      </c>
      <c r="T23" s="31">
        <f>SQRT((INDEX(US_x,8)-INDEX(US_x,17))^2+(INDEX(US_y,8)-INDEX(US_y,17))^2)</f>
        <v>39.312557790100605</v>
      </c>
      <c r="U23" s="31">
        <f>SQRT((INDEX(US_x,8)-INDEX(US_x,18))^2+(INDEX(US_y,8)-INDEX(US_y,18))^2)</f>
        <v>23.30341820420343</v>
      </c>
      <c r="V23" s="31">
        <f>SQRT((INDEX(US_x,8)-INDEX(US_x,19))^2+(INDEX(US_y,8)-INDEX(US_y,19))^2)</f>
        <v>34.864185061463864</v>
      </c>
      <c r="W23" s="31">
        <f>SQRT((INDEX(US_x,8)-INDEX(US_x,20))^2+(INDEX(US_y,8)-INDEX(US_y,20))^2)</f>
        <v>26.685340544950893</v>
      </c>
      <c r="X23" s="31">
        <f>SQRT((INDEX(US_x,8)-INDEX(US_x,21))^2+(INDEX(US_y,8)-INDEX(US_y,21))^2)</f>
        <v>34.862192988967294</v>
      </c>
      <c r="Y23" s="31">
        <f>SQRT((INDEX(US_x,8)-INDEX(US_x,22))^2+(INDEX(US_y,8)-INDEX(US_y,22))^2)</f>
        <v>11.746744229785552</v>
      </c>
      <c r="Z23" s="31">
        <f>SQRT((INDEX(US_x,8)-INDEX(US_x,23))^2+(INDEX(US_y,8)-INDEX(US_y,23))^2)</f>
        <v>22.59148512161164</v>
      </c>
      <c r="AA23" s="31">
        <f>SQRT((INDEX(US_x,8)-INDEX(US_x,24))^2+(INDEX(US_y,8)-INDEX(US_y,24))^2)</f>
        <v>58.39015756101366</v>
      </c>
      <c r="AB23" s="31">
        <f>SQRT((INDEX(US_x,8)-INDEX(US_x,25))^2+(INDEX(US_y,8)-INDEX(US_y,25))^2)</f>
        <v>31.40171969813119</v>
      </c>
      <c r="AC23" s="31">
        <f>SQRT((INDEX(US_x,8)-INDEX(US_x,26))^2+(INDEX(US_y,8)-INDEX(US_y,26))^2)</f>
        <v>65.95206137794331</v>
      </c>
      <c r="AD23" s="31">
        <f>SQRT((INDEX(US_x,8)-INDEX(US_x,27))^2+(INDEX(US_y,8)-INDEX(US_y,27))^2)</f>
        <v>35.628220556182704</v>
      </c>
      <c r="AE23" s="31">
        <f>SQRT((INDEX(US_x,8)-INDEX(US_x,28))^2+(INDEX(US_y,8)-INDEX(US_y,28))^2)</f>
        <v>27.27002933625118</v>
      </c>
      <c r="AF23" s="31">
        <f>SQRT((INDEX(US_x,8)-INDEX(US_x,29))^2+(INDEX(US_y,8)-INDEX(US_y,29))^2)</f>
        <v>41.19937863609111</v>
      </c>
      <c r="AG23" s="31">
        <f>SQRT((INDEX(US_x,8)-INDEX(US_x,30))^2+(INDEX(US_y,8)-INDEX(US_y,30))^2)</f>
        <v>32.3916856616015</v>
      </c>
      <c r="AH23" s="31">
        <f>SQRT((INDEX(US_x,8)-INDEX(US_x,31))^2+(INDEX(US_y,8)-INDEX(US_y,31))^2)</f>
        <v>15.583609979719078</v>
      </c>
      <c r="AI23" s="31">
        <f>SQRT((INDEX(US_x,8)-INDEX(US_x,32))^2+(INDEX(US_y,8)-INDEX(US_y,32))^2)</f>
        <v>45.066361068983596</v>
      </c>
      <c r="AJ23" s="31">
        <f>SQRT((INDEX(US_x,8)-INDEX(US_x,33))^2+(INDEX(US_y,8)-INDEX(US_y,33))^2)</f>
        <v>20.81572962929717</v>
      </c>
      <c r="AK23" s="31">
        <f>SQRT((INDEX(US_x,8)-INDEX(US_x,34))^2+(INDEX(US_y,8)-INDEX(US_y,34))^2)</f>
        <v>26.57921932638354</v>
      </c>
      <c r="AL23" s="31">
        <f>SQRT((INDEX(US_x,8)-INDEX(US_x,35))^2+(INDEX(US_y,8)-INDEX(US_y,35))^2)</f>
        <v>73.03784498463793</v>
      </c>
      <c r="AM23" s="31">
        <f>SQRT((INDEX(US_x,8)-INDEX(US_x,36))^2+(INDEX(US_y,8)-INDEX(US_y,36))^2)</f>
        <v>25.110575461346958</v>
      </c>
      <c r="AN23" s="31">
        <f>SQRT((INDEX(US_x,8)-INDEX(US_x,37))^2+(INDEX(US_y,8)-INDEX(US_y,37))^2)</f>
        <v>33.63917061997814</v>
      </c>
      <c r="AO23" s="31">
        <f>SQRT((INDEX(US_x,8)-INDEX(US_x,38))^2+(INDEX(US_y,8)-INDEX(US_y,38))^2)</f>
        <v>9.84228123963139</v>
      </c>
      <c r="AP23" s="31">
        <f>SQRT((INDEX(US_x,8)-INDEX(US_x,39))^2+(INDEX(US_y,8)-INDEX(US_y,39))^2)</f>
        <v>40.90560108347022</v>
      </c>
      <c r="AQ23" s="31">
        <f>SQRT((INDEX(US_x,8)-INDEX(US_x,40))^2+(INDEX(US_y,8)-INDEX(US_y,40))^2)</f>
        <v>13.189863532273566</v>
      </c>
      <c r="AR23" s="31">
        <f>SQRT((INDEX(US_x,8)-INDEX(US_x,41))^2+(INDEX(US_y,8)-INDEX(US_y,41))^2)</f>
        <v>25.437735748293324</v>
      </c>
      <c r="AS23" s="31">
        <f>SQRT((INDEX(US_x,8)-INDEX(US_x,42))^2+(INDEX(US_y,8)-INDEX(US_y,42))^2)</f>
        <v>53.574622723823275</v>
      </c>
      <c r="AT23" s="31">
        <f>SQRT((INDEX(US_x,8)-INDEX(US_x,43))^2+(INDEX(US_y,8)-INDEX(US_y,43))^2)</f>
        <v>36.310309830680325</v>
      </c>
      <c r="AU23" s="31">
        <f>SQRT((INDEX(US_x,8)-INDEX(US_x,44))^2+(INDEX(US_y,8)-INDEX(US_y,44))^2)</f>
        <v>19.860455684600996</v>
      </c>
      <c r="AV23" s="31">
        <f>SQRT((INDEX(US_x,8)-INDEX(US_x,45))^2+(INDEX(US_y,8)-INDEX(US_y,45))^2)</f>
        <v>73.9036460534932</v>
      </c>
      <c r="AW23" s="31">
        <f>SQRT((INDEX(US_x,8)-INDEX(US_x,46))^2+(INDEX(US_y,8)-INDEX(US_y,46))^2)</f>
        <v>17.84765810967927</v>
      </c>
      <c r="AX23" s="31">
        <f>SQRT((INDEX(US_x,8)-INDEX(US_x,47))^2+(INDEX(US_y,8)-INDEX(US_y,47))^2)</f>
        <v>28.7862814548875</v>
      </c>
      <c r="AY23" s="31">
        <f>SQRT((INDEX(US_x,8)-INDEX(US_x,48))^2+(INDEX(US_y,8)-INDEX(US_y,48))^2)</f>
        <v>42.952112870032366</v>
      </c>
      <c r="AZ23" s="31" t="s">
        <v>30</v>
      </c>
      <c r="BA23" s="34">
        <v>72.65</v>
      </c>
      <c r="BB23" s="34">
        <v>12.68</v>
      </c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</row>
    <row r="24" spans="3:113" ht="15" thickBot="1" thickTop="1">
      <c r="C24" s="26">
        <v>9</v>
      </c>
      <c r="D24" s="31">
        <f>SQRT((INDEX(US_x,9)-INDEX(US_x,1))^2+(INDEX(US_y,9)-INDEX(US_y,1))^2)</f>
        <v>4.620822437618656</v>
      </c>
      <c r="E24" s="31">
        <f>SQRT((INDEX(US_x,9)-INDEX(US_x,2))^2+(INDEX(US_y,9)-INDEX(US_y,2))^2)</f>
        <v>50.27708225424384</v>
      </c>
      <c r="F24" s="31">
        <f>SQRT((INDEX(US_x,9)-INDEX(US_x,3))^2+(INDEX(US_y,9)-INDEX(US_y,3))^2)</f>
        <v>14.435875449725943</v>
      </c>
      <c r="G24" s="31">
        <f>SQRT((INDEX(US_x,9)-INDEX(US_x,4))^2+(INDEX(US_y,9)-INDEX(US_y,4))^2)</f>
        <v>65.8034535567853</v>
      </c>
      <c r="H24" s="31">
        <f>SQRT((INDEX(US_x,9)-INDEX(US_x,5))^2+(INDEX(US_y,9)-INDEX(US_y,5))^2)</f>
        <v>38.23602620566107</v>
      </c>
      <c r="I24" s="31">
        <f>SQRT((INDEX(US_x,9)-INDEX(US_x,6))^2+(INDEX(US_y,9)-INDEX(US_y,6))^2)</f>
        <v>26.69162602765144</v>
      </c>
      <c r="J24" s="31">
        <f>SQRT((INDEX(US_x,9)-INDEX(US_x,7))^2+(INDEX(US_y,9)-INDEX(US_y,7))^2)</f>
        <v>19.51457404095718</v>
      </c>
      <c r="K24" s="33">
        <f>SQRT((INDEX(US_x,9)-INDEX(US_x,8))^2+(INDEX(US_y,9)-INDEX(US_y,8))^2)</f>
        <v>7.178983214912821</v>
      </c>
      <c r="L24" s="31" t="s">
        <v>30</v>
      </c>
      <c r="M24" s="31">
        <f>SQRT((INDEX(US_x,9)-INDEX(US_x,10))^2+(INDEX(US_y,9)-INDEX(US_y,10))^2)</f>
        <v>57.88323764268893</v>
      </c>
      <c r="N24" s="31">
        <f>SQRT((INDEX(US_x,9)-INDEX(US_x,11))^2+(INDEX(US_y,9)-INDEX(US_y,11))^2)</f>
        <v>16.014808771883605</v>
      </c>
      <c r="O24" s="31">
        <f>SQRT((INDEX(US_x,9)-INDEX(US_x,12))^2+(INDEX(US_y,9)-INDEX(US_y,12))^2)</f>
        <v>13.42544226459598</v>
      </c>
      <c r="P24" s="31">
        <f>SQRT((INDEX(US_x,9)-INDEX(US_x,13))^2+(INDEX(US_y,9)-INDEX(US_y,13))^2)</f>
        <v>23.296748700194197</v>
      </c>
      <c r="Q24" s="31">
        <f>SQRT((INDEX(US_x,9)-INDEX(US_x,14))^2+(INDEX(US_y,9)-INDEX(US_y,14))^2)</f>
        <v>22.909159740156344</v>
      </c>
      <c r="R24" s="31">
        <f>SQRT((INDEX(US_x,9)-INDEX(US_x,15))^2+(INDEX(US_y,9)-INDEX(US_y,15))^2)</f>
        <v>9.697448117932883</v>
      </c>
      <c r="S24" s="31">
        <f>SQRT((INDEX(US_x,9)-INDEX(US_x,16))^2+(INDEX(US_y,9)-INDEX(US_y,16))^2)</f>
        <v>14.506333099718896</v>
      </c>
      <c r="T24" s="31">
        <f>SQRT((INDEX(US_x,9)-INDEX(US_x,17))^2+(INDEX(US_y,9)-INDEX(US_y,17))^2)</f>
        <v>33.75169625366998</v>
      </c>
      <c r="U24" s="31">
        <f>SQRT((INDEX(US_x,9)-INDEX(US_x,18))^2+(INDEX(US_y,9)-INDEX(US_y,18))^2)</f>
        <v>17.9586218847661</v>
      </c>
      <c r="V24" s="31">
        <f>SQRT((INDEX(US_x,9)-INDEX(US_x,19))^2+(INDEX(US_y,9)-INDEX(US_y,19))^2)</f>
        <v>29.580060851864378</v>
      </c>
      <c r="W24" s="31">
        <f>SQRT((INDEX(US_x,9)-INDEX(US_x,20))^2+(INDEX(US_y,9)-INDEX(US_y,20))^2)</f>
        <v>19.50635793786221</v>
      </c>
      <c r="X24" s="31">
        <f>SQRT((INDEX(US_x,9)-INDEX(US_x,21))^2+(INDEX(US_y,9)-INDEX(US_y,21))^2)</f>
        <v>28.345160080691027</v>
      </c>
      <c r="Y24" s="31">
        <f>SQRT((INDEX(US_x,9)-INDEX(US_x,22))^2+(INDEX(US_y,9)-INDEX(US_y,22))^2)</f>
        <v>11.11680709556481</v>
      </c>
      <c r="Z24" s="31">
        <f>SQRT((INDEX(US_x,9)-INDEX(US_x,23))^2+(INDEX(US_y,9)-INDEX(US_y,23))^2)</f>
        <v>17.247637519382184</v>
      </c>
      <c r="AA24" s="31">
        <f>SQRT((INDEX(US_x,9)-INDEX(US_x,24))^2+(INDEX(US_y,9)-INDEX(US_y,24))^2)</f>
        <v>53.45465461491637</v>
      </c>
      <c r="AB24" s="31">
        <f>SQRT((INDEX(US_x,9)-INDEX(US_x,25))^2+(INDEX(US_y,9)-INDEX(US_y,25))^2)</f>
        <v>26.27593956455221</v>
      </c>
      <c r="AC24" s="31">
        <f>SQRT((INDEX(US_x,9)-INDEX(US_x,26))^2+(INDEX(US_y,9)-INDEX(US_y,26))^2)</f>
        <v>62.84772867813125</v>
      </c>
      <c r="AD24" s="31">
        <f>SQRT((INDEX(US_x,9)-INDEX(US_x,27))^2+(INDEX(US_y,9)-INDEX(US_y,27))^2)</f>
        <v>30.066601071620976</v>
      </c>
      <c r="AE24" s="31">
        <f>SQRT((INDEX(US_x,9)-INDEX(US_x,28))^2+(INDEX(US_y,9)-INDEX(US_y,28))^2)</f>
        <v>21.92410773554992</v>
      </c>
      <c r="AF24" s="31">
        <f>SQRT((INDEX(US_x,9)-INDEX(US_x,29))^2+(INDEX(US_y,9)-INDEX(US_y,29))^2)</f>
        <v>38.88506397063017</v>
      </c>
      <c r="AG24" s="31">
        <f>SQRT((INDEX(US_x,9)-INDEX(US_x,30))^2+(INDEX(US_y,9)-INDEX(US_y,30))^2)</f>
        <v>26.600295111144913</v>
      </c>
      <c r="AH24" s="31">
        <f>SQRT((INDEX(US_x,9)-INDEX(US_x,31))^2+(INDEX(US_y,9)-INDEX(US_y,31))^2)</f>
        <v>11.21456642050864</v>
      </c>
      <c r="AI24" s="31">
        <f>SQRT((INDEX(US_x,9)-INDEX(US_x,32))^2+(INDEX(US_y,9)-INDEX(US_y,32))^2)</f>
        <v>39.192867973650515</v>
      </c>
      <c r="AJ24" s="31">
        <f>SQRT((INDEX(US_x,9)-INDEX(US_x,33))^2+(INDEX(US_y,9)-INDEX(US_y,33))^2)</f>
        <v>13.717609121126026</v>
      </c>
      <c r="AK24" s="31">
        <f>SQRT((INDEX(US_x,9)-INDEX(US_x,34))^2+(INDEX(US_y,9)-INDEX(US_y,34))^2)</f>
        <v>23.908301905405168</v>
      </c>
      <c r="AL24" s="31">
        <f>SQRT((INDEX(US_x,9)-INDEX(US_x,35))^2+(INDEX(US_y,9)-INDEX(US_y,35))^2)</f>
        <v>68.82963460603288</v>
      </c>
      <c r="AM24" s="31">
        <f>SQRT((INDEX(US_x,9)-INDEX(US_x,36))^2+(INDEX(US_y,9)-INDEX(US_y,36))^2)</f>
        <v>19.260674962212512</v>
      </c>
      <c r="AN24" s="31">
        <f>SQRT((INDEX(US_x,9)-INDEX(US_x,37))^2+(INDEX(US_y,9)-INDEX(US_y,37))^2)</f>
        <v>28.443972999565304</v>
      </c>
      <c r="AO24" s="31">
        <f>SQRT((INDEX(US_x,9)-INDEX(US_x,38))^2+(INDEX(US_y,9)-INDEX(US_y,38))^2)</f>
        <v>6.106693049433546</v>
      </c>
      <c r="AP24" s="31">
        <f>SQRT((INDEX(US_x,9)-INDEX(US_x,39))^2+(INDEX(US_y,9)-INDEX(US_y,39))^2)</f>
        <v>35.42108411666701</v>
      </c>
      <c r="AQ24" s="31">
        <f>SQRT((INDEX(US_x,9)-INDEX(US_x,40))^2+(INDEX(US_y,9)-INDEX(US_y,40))^2)</f>
        <v>6.750029629564602</v>
      </c>
      <c r="AR24" s="31">
        <f>SQRT((INDEX(US_x,9)-INDEX(US_x,41))^2+(INDEX(US_y,9)-INDEX(US_y,41))^2)</f>
        <v>25.893230775629373</v>
      </c>
      <c r="AS24" s="31">
        <f>SQRT((INDEX(US_x,9)-INDEX(US_x,42))^2+(INDEX(US_y,9)-INDEX(US_y,42))^2)</f>
        <v>49.92011618576224</v>
      </c>
      <c r="AT24" s="31">
        <f>SQRT((INDEX(US_x,9)-INDEX(US_x,43))^2+(INDEX(US_y,9)-INDEX(US_y,43))^2)</f>
        <v>30.38111255369033</v>
      </c>
      <c r="AU24" s="31">
        <f>SQRT((INDEX(US_x,9)-INDEX(US_x,44))^2+(INDEX(US_y,9)-INDEX(US_y,44))^2)</f>
        <v>14.854753447970786</v>
      </c>
      <c r="AV24" s="31">
        <f>SQRT((INDEX(US_x,9)-INDEX(US_x,45))^2+(INDEX(US_y,9)-INDEX(US_y,45))^2)</f>
        <v>69.3326943079526</v>
      </c>
      <c r="AW24" s="31">
        <f>SQRT((INDEX(US_x,9)-INDEX(US_x,46))^2+(INDEX(US_y,9)-INDEX(US_y,46))^2)</f>
        <v>11.117306328423265</v>
      </c>
      <c r="AX24" s="31">
        <f>SQRT((INDEX(US_x,9)-INDEX(US_x,47))^2+(INDEX(US_y,9)-INDEX(US_y,47))^2)</f>
        <v>21.953355096658914</v>
      </c>
      <c r="AY24" s="31">
        <f>SQRT((INDEX(US_x,9)-INDEX(US_x,48))^2+(INDEX(US_y,9)-INDEX(US_y,48))^2)</f>
        <v>38.754192031314496</v>
      </c>
      <c r="AZ24" s="31" t="s">
        <v>30</v>
      </c>
      <c r="BA24" s="34">
        <v>68.98</v>
      </c>
      <c r="BB24" s="34">
        <v>18.85</v>
      </c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</row>
    <row r="25" spans="3:113" ht="15" thickBot="1" thickTop="1">
      <c r="C25" s="26">
        <v>10</v>
      </c>
      <c r="D25" s="31">
        <f>SQRT((INDEX(US_x,10)-INDEX(US_x,1))^2+(INDEX(US_y,10)-INDEX(US_y,1))^2)</f>
        <v>56.53503338638795</v>
      </c>
      <c r="E25" s="31">
        <f>SQRT((INDEX(US_x,10)-INDEX(US_x,2))^2+(INDEX(US_y,10)-INDEX(US_y,2))^2)</f>
        <v>23.268351896943624</v>
      </c>
      <c r="F25" s="31">
        <f>SQRT((INDEX(US_x,10)-INDEX(US_x,3))^2+(INDEX(US_y,10)-INDEX(US_y,3))^2)</f>
        <v>44.619893545368306</v>
      </c>
      <c r="G25" s="31">
        <f>SQRT((INDEX(US_x,10)-INDEX(US_x,4))^2+(INDEX(US_y,10)-INDEX(US_y,4))^2)</f>
        <v>14.017078868294918</v>
      </c>
      <c r="H25" s="31">
        <f>SQRT((INDEX(US_x,10)-INDEX(US_x,5))^2+(INDEX(US_y,10)-INDEX(US_y,5))^2)</f>
        <v>20.111998906125667</v>
      </c>
      <c r="I25" s="31">
        <f>SQRT((INDEX(US_x,10)-INDEX(US_x,6))^2+(INDEX(US_y,10)-INDEX(US_y,6))^2)</f>
        <v>69.28296832555601</v>
      </c>
      <c r="J25" s="31">
        <f>SQRT((INDEX(US_x,10)-INDEX(US_x,7))^2+(INDEX(US_y,10)-INDEX(US_y,7))^2)</f>
        <v>66.72586455041252</v>
      </c>
      <c r="K25" s="31">
        <f>SQRT((INDEX(US_x,10)-INDEX(US_x,8))^2+(INDEX(US_y,10)-INDEX(US_y,8))^2)</f>
        <v>62.02368096138765</v>
      </c>
      <c r="L25" s="31">
        <f>SQRT((INDEX(US_x,10)-INDEX(US_x,9))^2+(INDEX(US_y,10)-INDEX(US_y,9))^2)</f>
        <v>57.88323764268893</v>
      </c>
      <c r="M25" s="31" t="s">
        <v>30</v>
      </c>
      <c r="N25" s="31">
        <f>SQRT((INDEX(US_x,10)-INDEX(US_x,11))^2+(INDEX(US_y,10)-INDEX(US_y,11))^2)</f>
        <v>43.9146729465221</v>
      </c>
      <c r="O25" s="31">
        <f>SQRT((INDEX(US_x,10)-INDEX(US_x,12))^2+(INDEX(US_y,10)-INDEX(US_y,12))^2)</f>
        <v>49.46120196679414</v>
      </c>
      <c r="P25" s="31">
        <f>SQRT((INDEX(US_x,10)-INDEX(US_x,13))^2+(INDEX(US_y,10)-INDEX(US_y,13))^2)</f>
        <v>36.47939281292933</v>
      </c>
      <c r="Q25" s="31">
        <f>SQRT((INDEX(US_x,10)-INDEX(US_x,14))^2+(INDEX(US_y,10)-INDEX(US_y,14))^2)</f>
        <v>35.00027999888001</v>
      </c>
      <c r="R25" s="31">
        <f>SQRT((INDEX(US_x,10)-INDEX(US_x,15))^2+(INDEX(US_y,10)-INDEX(US_y,15))^2)</f>
        <v>52.732514637555454</v>
      </c>
      <c r="S25" s="31">
        <f>SQRT((INDEX(US_x,10)-INDEX(US_x,16))^2+(INDEX(US_y,10)-INDEX(US_y,16))^2)</f>
        <v>51.8212552916272</v>
      </c>
      <c r="T25" s="31">
        <f>SQRT((INDEX(US_x,10)-INDEX(US_x,17))^2+(INDEX(US_y,10)-INDEX(US_y,17))^2)</f>
        <v>72.15623742962211</v>
      </c>
      <c r="U25" s="31">
        <f>SQRT((INDEX(US_x,10)-INDEX(US_x,18))^2+(INDEX(US_y,10)-INDEX(US_y,18))^2)</f>
        <v>65.34307997026158</v>
      </c>
      <c r="V25" s="31">
        <f>SQRT((INDEX(US_x,10)-INDEX(US_x,19))^2+(INDEX(US_y,10)-INDEX(US_y,19))^2)</f>
        <v>71.39655173746137</v>
      </c>
      <c r="W25" s="31">
        <f>SQRT((INDEX(US_x,10)-INDEX(US_x,20))^2+(INDEX(US_y,10)-INDEX(US_y,20))^2)</f>
        <v>50.21064428983161</v>
      </c>
      <c r="X25" s="31">
        <f>SQRT((INDEX(US_x,10)-INDEX(US_x,21))^2+(INDEX(US_y,10)-INDEX(US_y,21))^2)</f>
        <v>36.20226650363206</v>
      </c>
      <c r="Y25" s="31">
        <f>SQRT((INDEX(US_x,10)-INDEX(US_x,22))^2+(INDEX(US_y,10)-INDEX(US_y,22))^2)</f>
        <v>50.76597482566448</v>
      </c>
      <c r="Z25" s="31">
        <f>SQRT((INDEX(US_x,10)-INDEX(US_x,23))^2+(INDEX(US_y,10)-INDEX(US_y,23))^2)</f>
        <v>40.89163484137068</v>
      </c>
      <c r="AA25" s="33">
        <f>SQRT((INDEX(US_x,10)-INDEX(US_x,24))^2+(INDEX(US_y,10)-INDEX(US_y,24))^2)</f>
        <v>9.214342081776648</v>
      </c>
      <c r="AB25" s="31">
        <f>SQRT((INDEX(US_x,10)-INDEX(US_x,25))^2+(INDEX(US_y,10)-INDEX(US_y,25))^2)</f>
        <v>32.06642168998593</v>
      </c>
      <c r="AC25" s="31">
        <f>SQRT((INDEX(US_x,10)-INDEX(US_x,26))^2+(INDEX(US_y,10)-INDEX(US_y,26))^2)</f>
        <v>11.30848354112964</v>
      </c>
      <c r="AD25" s="31">
        <f>SQRT((INDEX(US_x,10)-INDEX(US_x,27))^2+(INDEX(US_y,10)-INDEX(US_y,27))^2)</f>
        <v>70.13212459351277</v>
      </c>
      <c r="AE25" s="31">
        <f>SQRT((INDEX(US_x,10)-INDEX(US_x,28))^2+(INDEX(US_y,10)-INDEX(US_y,28))^2)</f>
        <v>67.13022046738712</v>
      </c>
      <c r="AF25" s="31">
        <f>SQRT((INDEX(US_x,10)-INDEX(US_x,29))^2+(INDEX(US_y,10)-INDEX(US_y,29))^2)</f>
        <v>24.36405959605254</v>
      </c>
      <c r="AG25" s="31">
        <f>SQRT((INDEX(US_x,10)-INDEX(US_x,30))^2+(INDEX(US_y,10)-INDEX(US_y,30))^2)</f>
        <v>67.06299202988188</v>
      </c>
      <c r="AH25" s="31">
        <f>SQRT((INDEX(US_x,10)-INDEX(US_x,31))^2+(INDEX(US_y,10)-INDEX(US_y,31))^2)</f>
        <v>64.76804227394865</v>
      </c>
      <c r="AI25" s="31">
        <f>SQRT((INDEX(US_x,10)-INDEX(US_x,32))^2+(INDEX(US_y,10)-INDEX(US_y,32))^2)</f>
        <v>24.75323211219093</v>
      </c>
      <c r="AJ25" s="31">
        <f>SQRT((INDEX(US_x,10)-INDEX(US_x,33))^2+(INDEX(US_y,10)-INDEX(US_y,33))^2)</f>
        <v>54.315717798810326</v>
      </c>
      <c r="AK25" s="31">
        <f>SQRT((INDEX(US_x,10)-INDEX(US_x,34))^2+(INDEX(US_y,10)-INDEX(US_y,34))^2)</f>
        <v>35.980851852061534</v>
      </c>
      <c r="AL25" s="31">
        <f>SQRT((INDEX(US_x,10)-INDEX(US_x,35))^2+(INDEX(US_y,10)-INDEX(US_y,35))^2)</f>
        <v>11.017304570538112</v>
      </c>
      <c r="AM25" s="31">
        <f>SQRT((INDEX(US_x,10)-INDEX(US_x,36))^2+(INDEX(US_y,10)-INDEX(US_y,36))^2)</f>
        <v>63.752173296288504</v>
      </c>
      <c r="AN25" s="31">
        <f>SQRT((INDEX(US_x,10)-INDEX(US_x,37))^2+(INDEX(US_y,10)-INDEX(US_y,37))^2)</f>
        <v>71.20717379590346</v>
      </c>
      <c r="AO25" s="31">
        <f>SQRT((INDEX(US_x,10)-INDEX(US_x,38))^2+(INDEX(US_y,10)-INDEX(US_y,38))^2)</f>
        <v>62.8302673876214</v>
      </c>
      <c r="AP25" s="31">
        <f>SQRT((INDEX(US_x,10)-INDEX(US_x,39))^2+(INDEX(US_y,10)-INDEX(US_y,39))^2)</f>
        <v>24.96954945528654</v>
      </c>
      <c r="AQ25" s="31">
        <f>SQRT((INDEX(US_x,10)-INDEX(US_x,40))^2+(INDEX(US_y,10)-INDEX(US_y,40))^2)</f>
        <v>51.597167557919306</v>
      </c>
      <c r="AR25" s="31">
        <f>SQRT((INDEX(US_x,10)-INDEX(US_x,41))^2+(INDEX(US_y,10)-INDEX(US_y,41))^2)</f>
        <v>43.17917322043117</v>
      </c>
      <c r="AS25" s="31">
        <f>SQRT((INDEX(US_x,10)-INDEX(US_x,42))^2+(INDEX(US_y,10)-INDEX(US_y,42))^2)</f>
        <v>9.363845363951715</v>
      </c>
      <c r="AT25" s="31">
        <f>SQRT((INDEX(US_x,10)-INDEX(US_x,43))^2+(INDEX(US_y,10)-INDEX(US_y,43))^2)</f>
        <v>67.94609922578337</v>
      </c>
      <c r="AU25" s="31">
        <f>SQRT((INDEX(US_x,10)-INDEX(US_x,44))^2+(INDEX(US_y,10)-INDEX(US_y,44))^2)</f>
        <v>65.06743348250338</v>
      </c>
      <c r="AV25" s="31">
        <f>SQRT((INDEX(US_x,10)-INDEX(US_x,45))^2+(INDEX(US_y,10)-INDEX(US_y,45))^2)</f>
        <v>12.678852471734183</v>
      </c>
      <c r="AW25" s="31">
        <f>SQRT((INDEX(US_x,10)-INDEX(US_x,46))^2+(INDEX(US_y,10)-INDEX(US_y,46))^2)</f>
        <v>57.72708289875732</v>
      </c>
      <c r="AX25" s="31">
        <f>SQRT((INDEX(US_x,10)-INDEX(US_x,47))^2+(INDEX(US_y,10)-INDEX(US_y,47))^2)</f>
        <v>42.486480202530316</v>
      </c>
      <c r="AY25" s="31">
        <f>SQRT((INDEX(US_x,10)-INDEX(US_x,48))^2+(INDEX(US_y,10)-INDEX(US_y,48))^2)</f>
        <v>19.139932079294326</v>
      </c>
      <c r="AZ25" s="31" t="s">
        <v>30</v>
      </c>
      <c r="BA25" s="34">
        <v>11.12</v>
      </c>
      <c r="BB25" s="34">
        <v>20.49</v>
      </c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</row>
    <row r="26" spans="3:113" ht="15" thickBot="1" thickTop="1">
      <c r="C26" s="26">
        <v>11</v>
      </c>
      <c r="D26" s="31">
        <f>SQRT((INDEX(US_x,11)-INDEX(US_x,1))^2+(INDEX(US_y,11)-INDEX(US_y,1))^2)</f>
        <v>17.123565633360364</v>
      </c>
      <c r="E26" s="31">
        <f>SQRT((INDEX(US_x,11)-INDEX(US_x,2))^2+(INDEX(US_y,11)-INDEX(US_y,2))^2)</f>
        <v>41.478236462029095</v>
      </c>
      <c r="F26" s="31">
        <f>SQRT((INDEX(US_x,11)-INDEX(US_x,3))^2+(INDEX(US_y,11)-INDEX(US_y,3))^2)</f>
        <v>11.836249405956263</v>
      </c>
      <c r="G26" s="31">
        <f>SQRT((INDEX(US_x,11)-INDEX(US_x,4))^2+(INDEX(US_y,11)-INDEX(US_y,4))^2)</f>
        <v>53.656047189482756</v>
      </c>
      <c r="H26" s="31">
        <f>SQRT((INDEX(US_x,11)-INDEX(US_x,5))^2+(INDEX(US_y,11)-INDEX(US_y,5))^2)</f>
        <v>25.72632892583005</v>
      </c>
      <c r="I26" s="31">
        <f>SQRT((INDEX(US_x,11)-INDEX(US_x,6))^2+(INDEX(US_y,11)-INDEX(US_y,6))^2)</f>
        <v>28.301067117690103</v>
      </c>
      <c r="J26" s="31">
        <f>SQRT((INDEX(US_x,11)-INDEX(US_x,7))^2+(INDEX(US_y,11)-INDEX(US_y,7))^2)</f>
        <v>23.79732127782453</v>
      </c>
      <c r="K26" s="31">
        <f>SQRT((INDEX(US_x,11)-INDEX(US_x,8))^2+(INDEX(US_y,11)-INDEX(US_y,8))^2)</f>
        <v>22.404135778913684</v>
      </c>
      <c r="L26" s="31">
        <f>SQRT((INDEX(US_x,11)-INDEX(US_x,9))^2+(INDEX(US_y,11)-INDEX(US_y,9))^2)</f>
        <v>16.014808771883605</v>
      </c>
      <c r="M26" s="31">
        <f>SQRT((INDEX(US_x,11)-INDEX(US_x,10))^2+(INDEX(US_y,11)-INDEX(US_y,10))^2)</f>
        <v>43.9146729465221</v>
      </c>
      <c r="N26" s="31" t="s">
        <v>30</v>
      </c>
      <c r="O26" s="31">
        <f>SQRT((INDEX(US_x,11)-INDEX(US_x,12))^2+(INDEX(US_y,11)-INDEX(US_y,12))^2)</f>
        <v>5.854314648188977</v>
      </c>
      <c r="P26" s="31">
        <f>SQRT((INDEX(US_x,11)-INDEX(US_x,13))^2+(INDEX(US_y,11)-INDEX(US_y,13))^2)</f>
        <v>7.650281040589291</v>
      </c>
      <c r="Q26" s="31">
        <f>SQRT((INDEX(US_x,11)-INDEX(US_x,14))^2+(INDEX(US_y,11)-INDEX(US_y,14))^2)</f>
        <v>10.289689013765187</v>
      </c>
      <c r="R26" s="31">
        <f>SQRT((INDEX(US_x,11)-INDEX(US_x,15))^2+(INDEX(US_y,11)-INDEX(US_y,15))^2)</f>
        <v>8.82366137156226</v>
      </c>
      <c r="S26" s="31">
        <f>SQRT((INDEX(US_x,11)-INDEX(US_x,16))^2+(INDEX(US_y,11)-INDEX(US_y,16))^2)</f>
        <v>20.3967889629716</v>
      </c>
      <c r="T26" s="31">
        <f>SQRT((INDEX(US_x,11)-INDEX(US_x,17))^2+(INDEX(US_y,11)-INDEX(US_y,17))^2)</f>
        <v>33.52392131001384</v>
      </c>
      <c r="U26" s="31">
        <f>SQRT((INDEX(US_x,11)-INDEX(US_x,18))^2+(INDEX(US_y,11)-INDEX(US_y,18))^2)</f>
        <v>22.235763985075938</v>
      </c>
      <c r="V26" s="31">
        <f>SQRT((INDEX(US_x,11)-INDEX(US_x,19))^2+(INDEX(US_y,11)-INDEX(US_y,19))^2)</f>
        <v>30.995781971100513</v>
      </c>
      <c r="W26" s="31">
        <f>SQRT((INDEX(US_x,11)-INDEX(US_x,20))^2+(INDEX(US_y,11)-INDEX(US_y,20))^2)</f>
        <v>10.48164586312665</v>
      </c>
      <c r="X26" s="31">
        <f>SQRT((INDEX(US_x,11)-INDEX(US_x,21))^2+(INDEX(US_y,11)-INDEX(US_y,21))^2)</f>
        <v>12.459510423768664</v>
      </c>
      <c r="Y26" s="31">
        <f>SQRT((INDEX(US_x,11)-INDEX(US_x,22))^2+(INDEX(US_y,11)-INDEX(US_y,22))^2)</f>
        <v>16.24409123343008</v>
      </c>
      <c r="Z26" s="33">
        <f>SQRT((INDEX(US_x,11)-INDEX(US_x,23))^2+(INDEX(US_y,11)-INDEX(US_y,23))^2)</f>
        <v>5.021324526457136</v>
      </c>
      <c r="AA26" s="31">
        <f>SQRT((INDEX(US_x,11)-INDEX(US_x,24))^2+(INDEX(US_y,11)-INDEX(US_y,24))^2)</f>
        <v>38.40368992688072</v>
      </c>
      <c r="AB26" s="31">
        <f>SQRT((INDEX(US_x,11)-INDEX(US_x,25))^2+(INDEX(US_y,11)-INDEX(US_y,25))^2)</f>
        <v>11.952309400279093</v>
      </c>
      <c r="AC26" s="31">
        <f>SQRT((INDEX(US_x,11)-INDEX(US_x,26))^2+(INDEX(US_y,11)-INDEX(US_y,26))^2)</f>
        <v>50.53003958043176</v>
      </c>
      <c r="AD26" s="31">
        <f>SQRT((INDEX(US_x,11)-INDEX(US_x,27))^2+(INDEX(US_y,11)-INDEX(US_y,27))^2)</f>
        <v>30.41864231026756</v>
      </c>
      <c r="AE26" s="31">
        <f>SQRT((INDEX(US_x,11)-INDEX(US_x,28))^2+(INDEX(US_y,11)-INDEX(US_y,28))^2)</f>
        <v>24.87559848526262</v>
      </c>
      <c r="AF26" s="31">
        <f>SQRT((INDEX(US_x,11)-INDEX(US_x,29))^2+(INDEX(US_y,11)-INDEX(US_y,29))^2)</f>
        <v>29.446869103522705</v>
      </c>
      <c r="AG26" s="31">
        <f>SQRT((INDEX(US_x,11)-INDEX(US_x,30))^2+(INDEX(US_y,11)-INDEX(US_y,30))^2)</f>
        <v>26.757159789484383</v>
      </c>
      <c r="AH26" s="31">
        <f>SQRT((INDEX(US_x,11)-INDEX(US_x,31))^2+(INDEX(US_y,11)-INDEX(US_y,31))^2)</f>
        <v>20.861337445139995</v>
      </c>
      <c r="AI26" s="31">
        <f>SQRT((INDEX(US_x,11)-INDEX(US_x,32))^2+(INDEX(US_y,11)-INDEX(US_y,32))^2)</f>
        <v>23.303068467478692</v>
      </c>
      <c r="AJ26" s="31">
        <f>SQRT((INDEX(US_x,11)-INDEX(US_x,33))^2+(INDEX(US_y,11)-INDEX(US_y,33))^2)</f>
        <v>11.132174091344428</v>
      </c>
      <c r="AK26" s="31">
        <f>SQRT((INDEX(US_x,11)-INDEX(US_x,34))^2+(INDEX(US_y,11)-INDEX(US_y,34))^2)</f>
        <v>16.49867873497754</v>
      </c>
      <c r="AL26" s="31">
        <f>SQRT((INDEX(US_x,11)-INDEX(US_x,35))^2+(INDEX(US_y,11)-INDEX(US_y,35))^2)</f>
        <v>54.58949074684614</v>
      </c>
      <c r="AM26" s="31">
        <f>SQRT((INDEX(US_x,11)-INDEX(US_x,36))^2+(INDEX(US_y,11)-INDEX(US_y,36))^2)</f>
        <v>21.31743183406482</v>
      </c>
      <c r="AN26" s="31">
        <f>SQRT((INDEX(US_x,11)-INDEX(US_x,37))^2+(INDEX(US_y,11)-INDEX(US_y,37))^2)</f>
        <v>30.36207667469405</v>
      </c>
      <c r="AO26" s="31">
        <f>SQRT((INDEX(US_x,11)-INDEX(US_x,38))^2+(INDEX(US_y,11)-INDEX(US_y,38))^2)</f>
        <v>19.577589228503086</v>
      </c>
      <c r="AP26" s="31">
        <f>SQRT((INDEX(US_x,11)-INDEX(US_x,39))^2+(INDEX(US_y,11)-INDEX(US_y,39))^2)</f>
        <v>19.96493175545561</v>
      </c>
      <c r="AQ26" s="31">
        <f>SQRT((INDEX(US_x,11)-INDEX(US_x,40))^2+(INDEX(US_y,11)-INDEX(US_y,40))^2)</f>
        <v>9.30940384772301</v>
      </c>
      <c r="AR26" s="31">
        <f>SQRT((INDEX(US_x,11)-INDEX(US_x,41))^2+(INDEX(US_y,11)-INDEX(US_y,41))^2)</f>
        <v>25.128559449359607</v>
      </c>
      <c r="AS26" s="31">
        <f>SQRT((INDEX(US_x,11)-INDEX(US_x,42))^2+(INDEX(US_y,11)-INDEX(US_y,42))^2)</f>
        <v>37.00280124531114</v>
      </c>
      <c r="AT26" s="31">
        <f>SQRT((INDEX(US_x,11)-INDEX(US_x,43))^2+(INDEX(US_y,11)-INDEX(US_y,43))^2)</f>
        <v>29.225319502102966</v>
      </c>
      <c r="AU26" s="31">
        <f>SQRT((INDEX(US_x,11)-INDEX(US_x,44))^2+(INDEX(US_y,11)-INDEX(US_y,44))^2)</f>
        <v>21.369066427899938</v>
      </c>
      <c r="AV26" s="31">
        <f>SQRT((INDEX(US_x,11)-INDEX(US_x,45))^2+(INDEX(US_y,11)-INDEX(US_y,45))^2)</f>
        <v>54.58448863917294</v>
      </c>
      <c r="AW26" s="31">
        <f>SQRT((INDEX(US_x,11)-INDEX(US_x,46))^2+(INDEX(US_y,11)-INDEX(US_y,46))^2)</f>
        <v>13.93804146930263</v>
      </c>
      <c r="AX26" s="31">
        <f>SQRT((INDEX(US_x,11)-INDEX(US_x,47))^2+(INDEX(US_y,11)-INDEX(US_y,47))^2)</f>
        <v>7.107693015317979</v>
      </c>
      <c r="AY26" s="31">
        <f>SQRT((INDEX(US_x,11)-INDEX(US_x,48))^2+(INDEX(US_y,11)-INDEX(US_y,48))^2)</f>
        <v>25.335589592508008</v>
      </c>
      <c r="AZ26" s="31" t="s">
        <v>30</v>
      </c>
      <c r="BA26" s="34">
        <v>54.68</v>
      </c>
      <c r="BB26" s="34">
        <v>26.06</v>
      </c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</row>
    <row r="27" spans="3:113" ht="15" thickBot="1" thickTop="1">
      <c r="C27" s="26">
        <v>12</v>
      </c>
      <c r="D27" s="31">
        <f>SQRT((INDEX(US_x,12)-INDEX(US_x,1))^2+(INDEX(US_y,12)-INDEX(US_y,1))^2)</f>
        <v>16.03566337885652</v>
      </c>
      <c r="E27" s="31">
        <f>SQRT((INDEX(US_x,12)-INDEX(US_x,2))^2+(INDEX(US_y,12)-INDEX(US_y,2))^2)</f>
        <v>47.22743376470926</v>
      </c>
      <c r="F27" s="31">
        <f>SQRT((INDEX(US_x,12)-INDEX(US_x,3))^2+(INDEX(US_y,12)-INDEX(US_y,3))^2)</f>
        <v>15.199611837149002</v>
      </c>
      <c r="G27" s="31">
        <f>SQRT((INDEX(US_x,12)-INDEX(US_x,4))^2+(INDEX(US_y,12)-INDEX(US_y,4))^2)</f>
        <v>59.4598755464557</v>
      </c>
      <c r="H27" s="31">
        <f>SQRT((INDEX(US_x,12)-INDEX(US_x,5))^2+(INDEX(US_y,12)-INDEX(US_y,5))^2)</f>
        <v>31.56119452745729</v>
      </c>
      <c r="I27" s="31">
        <f>SQRT((INDEX(US_x,12)-INDEX(US_x,6))^2+(INDEX(US_y,12)-INDEX(US_y,6))^2)</f>
        <v>22.656976850409674</v>
      </c>
      <c r="J27" s="31">
        <f>SQRT((INDEX(US_x,12)-INDEX(US_x,7))^2+(INDEX(US_y,12)-INDEX(US_y,7))^2)</f>
        <v>17.94353644073542</v>
      </c>
      <c r="K27" s="31">
        <f>SQRT((INDEX(US_x,12)-INDEX(US_x,8))^2+(INDEX(US_y,12)-INDEX(US_y,8))^2)</f>
        <v>20.504148360758613</v>
      </c>
      <c r="L27" s="31">
        <f>SQRT((INDEX(US_x,12)-INDEX(US_x,9))^2+(INDEX(US_y,12)-INDEX(US_y,9))^2)</f>
        <v>13.42544226459598</v>
      </c>
      <c r="M27" s="31">
        <f>SQRT((INDEX(US_x,12)-INDEX(US_x,10))^2+(INDEX(US_y,12)-INDEX(US_y,10))^2)</f>
        <v>49.46120196679414</v>
      </c>
      <c r="N27" s="33">
        <f>SQRT((INDEX(US_x,12)-INDEX(US_x,11))^2+(INDEX(US_y,12)-INDEX(US_y,11))^2)</f>
        <v>5.854314648188977</v>
      </c>
      <c r="O27" s="31" t="s">
        <v>30</v>
      </c>
      <c r="P27" s="31">
        <f>SQRT((INDEX(US_x,12)-INDEX(US_x,13))^2+(INDEX(US_y,12)-INDEX(US_y,13))^2)</f>
        <v>12.983412494409933</v>
      </c>
      <c r="Q27" s="31">
        <f>SQRT((INDEX(US_x,12)-INDEX(US_x,14))^2+(INDEX(US_y,12)-INDEX(US_y,14))^2)</f>
        <v>16.119469594251544</v>
      </c>
      <c r="R27" s="31">
        <f>SQRT((INDEX(US_x,12)-INDEX(US_x,15))^2+(INDEX(US_y,12)-INDEX(US_y,15))^2)</f>
        <v>4.052949543233915</v>
      </c>
      <c r="S27" s="31">
        <f>SQRT((INDEX(US_x,12)-INDEX(US_x,16))^2+(INDEX(US_y,12)-INDEX(US_y,16))^2)</f>
        <v>22.071565417976135</v>
      </c>
      <c r="T27" s="31">
        <f>SQRT((INDEX(US_x,12)-INDEX(US_x,17))^2+(INDEX(US_y,12)-INDEX(US_y,17))^2)</f>
        <v>28.234030884731993</v>
      </c>
      <c r="U27" s="31">
        <f>SQRT((INDEX(US_x,12)-INDEX(US_x,18))^2+(INDEX(US_y,12)-INDEX(US_y,18))^2)</f>
        <v>16.382362466994806</v>
      </c>
      <c r="V27" s="31">
        <f>SQRT((INDEX(US_x,12)-INDEX(US_x,19))^2+(INDEX(US_y,12)-INDEX(US_y,19))^2)</f>
        <v>25.41761003713763</v>
      </c>
      <c r="W27" s="31">
        <f>SQRT((INDEX(US_x,12)-INDEX(US_x,20))^2+(INDEX(US_y,12)-INDEX(US_y,20))^2)</f>
        <v>6.937326574408904</v>
      </c>
      <c r="X27" s="31">
        <f>SQRT((INDEX(US_x,12)-INDEX(US_x,21))^2+(INDEX(US_y,12)-INDEX(US_y,21))^2)</f>
        <v>15.855762359470454</v>
      </c>
      <c r="Y27" s="31">
        <f>SQRT((INDEX(US_x,12)-INDEX(US_x,22))^2+(INDEX(US_y,12)-INDEX(US_y,22))^2)</f>
        <v>17.66553990117483</v>
      </c>
      <c r="Z27" s="31">
        <f>SQRT((INDEX(US_x,12)-INDEX(US_x,23))^2+(INDEX(US_y,12)-INDEX(US_y,23))^2)</f>
        <v>10.495622897189094</v>
      </c>
      <c r="AA27" s="31">
        <f>SQRT((INDEX(US_x,12)-INDEX(US_x,24))^2+(INDEX(US_y,12)-INDEX(US_y,24))^2)</f>
        <v>43.56470130736581</v>
      </c>
      <c r="AB27" s="31">
        <f>SQRT((INDEX(US_x,12)-INDEX(US_x,25))^2+(INDEX(US_y,12)-INDEX(US_y,25))^2)</f>
        <v>17.69950564281387</v>
      </c>
      <c r="AC27" s="31">
        <f>SQRT((INDEX(US_x,12)-INDEX(US_x,26))^2+(INDEX(US_y,12)-INDEX(US_y,26))^2)</f>
        <v>56.324315353140335</v>
      </c>
      <c r="AD27" s="31">
        <f>SQRT((INDEX(US_x,12)-INDEX(US_x,27))^2+(INDEX(US_y,12)-INDEX(US_y,27))^2)</f>
        <v>24.9785347848908</v>
      </c>
      <c r="AE27" s="31">
        <f>SQRT((INDEX(US_x,12)-INDEX(US_x,28))^2+(INDEX(US_y,12)-INDEX(US_y,28))^2)</f>
        <v>19.069263226459483</v>
      </c>
      <c r="AF27" s="31">
        <f>SQRT((INDEX(US_x,12)-INDEX(US_x,29))^2+(INDEX(US_y,12)-INDEX(US_y,29))^2)</f>
        <v>35.198058185076064</v>
      </c>
      <c r="AG27" s="31">
        <f>SQRT((INDEX(US_x,12)-INDEX(US_x,30))^2+(INDEX(US_y,12)-INDEX(US_y,30))^2)</f>
        <v>21.27077337569088</v>
      </c>
      <c r="AH27" s="31">
        <f>SQRT((INDEX(US_x,12)-INDEX(US_x,31))^2+(INDEX(US_y,12)-INDEX(US_y,31))^2)</f>
        <v>15.576649190374676</v>
      </c>
      <c r="AI27" s="31">
        <f>SQRT((INDEX(US_x,12)-INDEX(US_x,32))^2+(INDEX(US_y,12)-INDEX(US_y,32))^2)</f>
        <v>27.777976888175274</v>
      </c>
      <c r="AJ27" s="31">
        <f>SQRT((INDEX(US_x,12)-INDEX(US_x,33))^2+(INDEX(US_y,12)-INDEX(US_y,33))^2)</f>
        <v>5.300650903426865</v>
      </c>
      <c r="AK27" s="31">
        <f>SQRT((INDEX(US_x,12)-INDEX(US_x,34))^2+(INDEX(US_y,12)-INDEX(US_y,34))^2)</f>
        <v>21.7089520705169</v>
      </c>
      <c r="AL27" s="31">
        <f>SQRT((INDEX(US_x,12)-INDEX(US_x,35))^2+(INDEX(US_y,12)-INDEX(US_y,35))^2)</f>
        <v>60.02066727386493</v>
      </c>
      <c r="AM27" s="31">
        <f>SQRT((INDEX(US_x,12)-INDEX(US_x,36))^2+(INDEX(US_y,12)-INDEX(US_y,36))^2)</f>
        <v>15.511018664162584</v>
      </c>
      <c r="AN27" s="31">
        <f>SQRT((INDEX(US_x,12)-INDEX(US_x,37))^2+(INDEX(US_y,12)-INDEX(US_y,37))^2)</f>
        <v>24.71601302799463</v>
      </c>
      <c r="AO27" s="31">
        <f>SQRT((INDEX(US_x,12)-INDEX(US_x,38))^2+(INDEX(US_y,12)-INDEX(US_y,38))^2)</f>
        <v>15.375467472568111</v>
      </c>
      <c r="AP27" s="31">
        <f>SQRT((INDEX(US_x,12)-INDEX(US_x,39))^2+(INDEX(US_y,12)-INDEX(US_y,39))^2)</f>
        <v>25.053863973447285</v>
      </c>
      <c r="AQ27" s="31">
        <f>SQRT((INDEX(US_x,12)-INDEX(US_x,40))^2+(INDEX(US_y,12)-INDEX(US_y,40))^2)</f>
        <v>7.900430368024263</v>
      </c>
      <c r="AR27" s="31">
        <f>SQRT((INDEX(US_x,12)-INDEX(US_x,41))^2+(INDEX(US_y,12)-INDEX(US_y,41))^2)</f>
        <v>29.115811855416297</v>
      </c>
      <c r="AS27" s="31">
        <f>SQRT((INDEX(US_x,12)-INDEX(US_x,42))^2+(INDEX(US_y,12)-INDEX(US_y,42))^2)</f>
        <v>42.76651143125893</v>
      </c>
      <c r="AT27" s="31">
        <f>SQRT((INDEX(US_x,12)-INDEX(US_x,43))^2+(INDEX(US_y,12)-INDEX(US_y,43))^2)</f>
        <v>24.023648765331217</v>
      </c>
      <c r="AU27" s="31">
        <f>SQRT((INDEX(US_x,12)-INDEX(US_x,44))^2+(INDEX(US_y,12)-INDEX(US_y,44))^2)</f>
        <v>15.634436350569217</v>
      </c>
      <c r="AV27" s="31">
        <f>SQRT((INDEX(US_x,12)-INDEX(US_x,45))^2+(INDEX(US_y,12)-INDEX(US_y,45))^2)</f>
        <v>59.822445620352234</v>
      </c>
      <c r="AW27" s="31">
        <f>SQRT((INDEX(US_x,12)-INDEX(US_x,46))^2+(INDEX(US_y,12)-INDEX(US_y,46))^2)</f>
        <v>8.267551027964682</v>
      </c>
      <c r="AX27" s="31">
        <f>SQRT((INDEX(US_x,12)-INDEX(US_x,47))^2+(INDEX(US_y,12)-INDEX(US_y,47))^2)</f>
        <v>8.914263850705787</v>
      </c>
      <c r="AY27" s="31">
        <f>SQRT((INDEX(US_x,12)-INDEX(US_x,48))^2+(INDEX(US_y,12)-INDEX(US_y,48))^2)</f>
        <v>31.08684126764892</v>
      </c>
      <c r="AZ27" s="31" t="s">
        <v>30</v>
      </c>
      <c r="BA27" s="34">
        <v>59.89</v>
      </c>
      <c r="BB27" s="34">
        <v>28.73</v>
      </c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</row>
    <row r="28" spans="3:113" ht="15" thickBot="1" thickTop="1">
      <c r="C28" s="26">
        <v>13</v>
      </c>
      <c r="D28" s="31">
        <f>SQRT((INDEX(US_x,13)-INDEX(US_x,1))^2+(INDEX(US_y,13)-INDEX(US_y,1))^2)</f>
        <v>23.671977103740193</v>
      </c>
      <c r="E28" s="31">
        <f>SQRT((INDEX(US_x,13)-INDEX(US_x,2))^2+(INDEX(US_y,13)-INDEX(US_y,2))^2)</f>
        <v>36.3491746811396</v>
      </c>
      <c r="F28" s="31">
        <f>SQRT((INDEX(US_x,13)-INDEX(US_x,3))^2+(INDEX(US_y,13)-INDEX(US_y,3))^2)</f>
        <v>14.971559704987314</v>
      </c>
      <c r="G28" s="31">
        <f>SQRT((INDEX(US_x,13)-INDEX(US_x,4))^2+(INDEX(US_y,13)-INDEX(US_y,4))^2)</f>
        <v>46.789864287044054</v>
      </c>
      <c r="H28" s="31">
        <f>SQRT((INDEX(US_x,13)-INDEX(US_x,5))^2+(INDEX(US_y,13)-INDEX(US_y,5))^2)</f>
        <v>19.23090221492481</v>
      </c>
      <c r="I28" s="31">
        <f>SQRT((INDEX(US_x,13)-INDEX(US_x,6))^2+(INDEX(US_y,13)-INDEX(US_y,6))^2)</f>
        <v>34.065026053123745</v>
      </c>
      <c r="J28" s="31">
        <f>SQRT((INDEX(US_x,13)-INDEX(US_x,7))^2+(INDEX(US_y,13)-INDEX(US_y,7))^2)</f>
        <v>30.504840599485192</v>
      </c>
      <c r="K28" s="31">
        <f>SQRT((INDEX(US_x,13)-INDEX(US_x,8))^2+(INDEX(US_y,13)-INDEX(US_y,8))^2)</f>
        <v>29.19814548905461</v>
      </c>
      <c r="L28" s="31">
        <f>SQRT((INDEX(US_x,13)-INDEX(US_x,9))^2+(INDEX(US_y,13)-INDEX(US_y,9))^2)</f>
        <v>23.296748700194197</v>
      </c>
      <c r="M28" s="31">
        <f>SQRT((INDEX(US_x,13)-INDEX(US_x,10))^2+(INDEX(US_y,13)-INDEX(US_y,10))^2)</f>
        <v>36.47939281292933</v>
      </c>
      <c r="N28" s="31">
        <f>SQRT((INDEX(US_x,13)-INDEX(US_x,11))^2+(INDEX(US_y,13)-INDEX(US_y,11))^2)</f>
        <v>7.650281040589291</v>
      </c>
      <c r="O28" s="31">
        <f>SQRT((INDEX(US_x,13)-INDEX(US_x,12))^2+(INDEX(US_y,13)-INDEX(US_y,12))^2)</f>
        <v>12.983412494409933</v>
      </c>
      <c r="P28" s="31" t="s">
        <v>30</v>
      </c>
      <c r="Q28" s="31">
        <f>SQRT((INDEX(US_x,13)-INDEX(US_x,14))^2+(INDEX(US_y,13)-INDEX(US_y,14))^2)</f>
        <v>6.458769232601515</v>
      </c>
      <c r="R28" s="31">
        <f>SQRT((INDEX(US_x,13)-INDEX(US_x,15))^2+(INDEX(US_y,13)-INDEX(US_y,15))^2)</f>
        <v>16.410246798875388</v>
      </c>
      <c r="S28" s="31">
        <f>SQRT((INDEX(US_x,13)-INDEX(US_x,16))^2+(INDEX(US_y,13)-INDEX(US_y,16))^2)</f>
        <v>24.459816025473287</v>
      </c>
      <c r="T28" s="31">
        <f>SQRT((INDEX(US_x,13)-INDEX(US_x,17))^2+(INDEX(US_y,13)-INDEX(US_y,17))^2)</f>
        <v>38.391568084671924</v>
      </c>
      <c r="U28" s="31">
        <f>SQRT((INDEX(US_x,13)-INDEX(US_x,18))^2+(INDEX(US_y,13)-INDEX(US_y,18))^2)</f>
        <v>29.042369049373367</v>
      </c>
      <c r="V28" s="31">
        <f>SQRT((INDEX(US_x,13)-INDEX(US_x,19))^2+(INDEX(US_y,13)-INDEX(US_y,19))^2)</f>
        <v>36.5445987801207</v>
      </c>
      <c r="W28" s="31">
        <f>SQRT((INDEX(US_x,13)-INDEX(US_x,20))^2+(INDEX(US_y,13)-INDEX(US_y,20))^2)</f>
        <v>14.87415543820892</v>
      </c>
      <c r="X28" s="33">
        <f>SQRT((INDEX(US_x,13)-INDEX(US_x,21))^2+(INDEX(US_y,13)-INDEX(US_y,21))^2)</f>
        <v>7.298999931497465</v>
      </c>
      <c r="Y28" s="31">
        <f>SQRT((INDEX(US_x,13)-INDEX(US_x,22))^2+(INDEX(US_y,13)-INDEX(US_y,22))^2)</f>
        <v>20.957387718892825</v>
      </c>
      <c r="Z28" s="31">
        <f>SQRT((INDEX(US_x,13)-INDEX(US_x,23))^2+(INDEX(US_y,13)-INDEX(US_y,23))^2)</f>
        <v>6.96500538406109</v>
      </c>
      <c r="AA28" s="31">
        <f>SQRT((INDEX(US_x,13)-INDEX(US_x,24))^2+(INDEX(US_y,13)-INDEX(US_y,24))^2)</f>
        <v>30.75963913962581</v>
      </c>
      <c r="AB28" s="31">
        <f>SQRT((INDEX(US_x,13)-INDEX(US_x,25))^2+(INDEX(US_y,13)-INDEX(US_y,25))^2)</f>
        <v>5.320761223734816</v>
      </c>
      <c r="AC28" s="31">
        <f>SQRT((INDEX(US_x,13)-INDEX(US_x,26))^2+(INDEX(US_y,13)-INDEX(US_y,26))^2)</f>
        <v>43.6247464176011</v>
      </c>
      <c r="AD28" s="31">
        <f>SQRT((INDEX(US_x,13)-INDEX(US_x,27))^2+(INDEX(US_y,13)-INDEX(US_y,27))^2)</f>
        <v>35.66206107335917</v>
      </c>
      <c r="AE28" s="31">
        <f>SQRT((INDEX(US_x,13)-INDEX(US_x,28))^2+(INDEX(US_y,13)-INDEX(US_y,28))^2)</f>
        <v>31.217741750485406</v>
      </c>
      <c r="AF28" s="31">
        <f>SQRT((INDEX(US_x,13)-INDEX(US_x,29))^2+(INDEX(US_y,13)-INDEX(US_y,29))^2)</f>
        <v>24.52868728652229</v>
      </c>
      <c r="AG28" s="31">
        <f>SQRT((INDEX(US_x,13)-INDEX(US_x,30))^2+(INDEX(US_y,13)-INDEX(US_y,30))^2)</f>
        <v>32.18313222792337</v>
      </c>
      <c r="AH28" s="31">
        <f>SQRT((INDEX(US_x,13)-INDEX(US_x,31))^2+(INDEX(US_y,13)-INDEX(US_y,31))^2)</f>
        <v>28.41839193198658</v>
      </c>
      <c r="AI28" s="31">
        <f>SQRT((INDEX(US_x,13)-INDEX(US_x,32))^2+(INDEX(US_y,13)-INDEX(US_y,32))^2)</f>
        <v>15.914402282209657</v>
      </c>
      <c r="AJ28" s="31">
        <f>SQRT((INDEX(US_x,13)-INDEX(US_x,33))^2+(INDEX(US_y,13)-INDEX(US_y,33))^2)</f>
        <v>17.909218296731996</v>
      </c>
      <c r="AK28" s="31">
        <f>SQRT((INDEX(US_x,13)-INDEX(US_x,34))^2+(INDEX(US_y,13)-INDEX(US_y,34))^2)</f>
        <v>14.792498098698541</v>
      </c>
      <c r="AL28" s="31">
        <f>SQRT((INDEX(US_x,13)-INDEX(US_x,35))^2+(INDEX(US_y,13)-INDEX(US_y,35))^2)</f>
        <v>47.053430268153676</v>
      </c>
      <c r="AM28" s="31">
        <f>SQRT((INDEX(US_x,13)-INDEX(US_x,36))^2+(INDEX(US_y,13)-INDEX(US_y,36))^2)</f>
        <v>27.717844432783732</v>
      </c>
      <c r="AN28" s="31">
        <f>SQRT((INDEX(US_x,13)-INDEX(US_x,37))^2+(INDEX(US_y,13)-INDEX(US_y,37))^2)</f>
        <v>36.09622833482745</v>
      </c>
      <c r="AO28" s="31">
        <f>SQRT((INDEX(US_x,13)-INDEX(US_x,38))^2+(INDEX(US_y,13)-INDEX(US_y,38))^2)</f>
        <v>27.202014631273176</v>
      </c>
      <c r="AP28" s="31">
        <f>SQRT((INDEX(US_x,13)-INDEX(US_x,39))^2+(INDEX(US_y,13)-INDEX(US_y,39))^2)</f>
        <v>12.317909725274006</v>
      </c>
      <c r="AQ28" s="31">
        <f>SQRT((INDEX(US_x,13)-INDEX(US_x,40))^2+(INDEX(US_y,13)-INDEX(US_y,40))^2)</f>
        <v>16.55217810440668</v>
      </c>
      <c r="AR28" s="31">
        <f>SQRT((INDEX(US_x,13)-INDEX(US_x,41))^2+(INDEX(US_y,13)-INDEX(US_y,41))^2)</f>
        <v>25.493130447240095</v>
      </c>
      <c r="AS28" s="31">
        <f>SQRT((INDEX(US_x,13)-INDEX(US_x,42))^2+(INDEX(US_y,13)-INDEX(US_y,42))^2)</f>
        <v>30.00854045101161</v>
      </c>
      <c r="AT28" s="31">
        <f>SQRT((INDEX(US_x,13)-INDEX(US_x,43))^2+(INDEX(US_y,13)-INDEX(US_y,43))^2)</f>
        <v>34.0236697021353</v>
      </c>
      <c r="AU28" s="31">
        <f>SQRT((INDEX(US_x,13)-INDEX(US_x,44))^2+(INDEX(US_y,13)-INDEX(US_y,44))^2)</f>
        <v>28.593765054640848</v>
      </c>
      <c r="AV28" s="31">
        <f>SQRT((INDEX(US_x,13)-INDEX(US_x,45))^2+(INDEX(US_y,13)-INDEX(US_y,45))^2)</f>
        <v>46.96000425894359</v>
      </c>
      <c r="AW28" s="31">
        <f>SQRT((INDEX(US_x,13)-INDEX(US_x,46))^2+(INDEX(US_y,13)-INDEX(US_y,46))^2)</f>
        <v>21.25079292638276</v>
      </c>
      <c r="AX28" s="31">
        <f>SQRT((INDEX(US_x,13)-INDEX(US_x,47))^2+(INDEX(US_y,13)-INDEX(US_y,47))^2)</f>
        <v>7.553125181009513</v>
      </c>
      <c r="AY28" s="31">
        <f>SQRT((INDEX(US_x,13)-INDEX(US_x,48))^2+(INDEX(US_y,13)-INDEX(US_y,48))^2)</f>
        <v>18.35296433822068</v>
      </c>
      <c r="AZ28" s="31" t="s">
        <v>30</v>
      </c>
      <c r="BA28" s="34">
        <v>47.06</v>
      </c>
      <c r="BB28" s="34">
        <v>26.74</v>
      </c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</row>
    <row r="29" spans="3:113" ht="15" thickBot="1" thickTop="1">
      <c r="C29" s="26">
        <v>14</v>
      </c>
      <c r="D29" s="31">
        <f>SQRT((INDEX(US_x,14)-INDEX(US_x,1))^2+(INDEX(US_y,14)-INDEX(US_y,1))^2)</f>
        <v>22.00365424196627</v>
      </c>
      <c r="E29" s="31">
        <f>SQRT((INDEX(US_x,14)-INDEX(US_x,2))^2+(INDEX(US_y,14)-INDEX(US_y,2))^2)</f>
        <v>31.241424423351763</v>
      </c>
      <c r="F29" s="31">
        <f>SQRT((INDEX(US_x,14)-INDEX(US_x,3))^2+(INDEX(US_y,14)-INDEX(US_y,3))^2)</f>
        <v>11.027443039979849</v>
      </c>
      <c r="G29" s="31">
        <f>SQRT((INDEX(US_x,14)-INDEX(US_x,4))^2+(INDEX(US_y,14)-INDEX(US_y,4))^2)</f>
        <v>43.77003198536642</v>
      </c>
      <c r="H29" s="31">
        <f>SQRT((INDEX(US_x,14)-INDEX(US_x,5))^2+(INDEX(US_y,14)-INDEX(US_y,5))^2)</f>
        <v>15.791709850424683</v>
      </c>
      <c r="I29" s="31">
        <f>SQRT((INDEX(US_x,14)-INDEX(US_x,6))^2+(INDEX(US_y,14)-INDEX(US_y,6))^2)</f>
        <v>38.531733674985354</v>
      </c>
      <c r="J29" s="31">
        <f>SQRT((INDEX(US_x,14)-INDEX(US_x,7))^2+(INDEX(US_y,14)-INDEX(US_y,7))^2)</f>
        <v>34.04890893993522</v>
      </c>
      <c r="K29" s="31">
        <f>SQRT((INDEX(US_x,14)-INDEX(US_x,8))^2+(INDEX(US_y,14)-INDEX(US_y,8))^2)</f>
        <v>27.616476965753623</v>
      </c>
      <c r="L29" s="31">
        <f>SQRT((INDEX(US_x,14)-INDEX(US_x,9))^2+(INDEX(US_y,14)-INDEX(US_y,9))^2)</f>
        <v>22.909159740156344</v>
      </c>
      <c r="M29" s="31">
        <f>SQRT((INDEX(US_x,14)-INDEX(US_x,10))^2+(INDEX(US_y,14)-INDEX(US_y,10))^2)</f>
        <v>35.00027999888001</v>
      </c>
      <c r="N29" s="31">
        <f>SQRT((INDEX(US_x,14)-INDEX(US_x,11))^2+(INDEX(US_y,14)-INDEX(US_y,11))^2)</f>
        <v>10.289689013765187</v>
      </c>
      <c r="O29" s="31">
        <f>SQRT((INDEX(US_x,14)-INDEX(US_x,12))^2+(INDEX(US_y,14)-INDEX(US_y,12))^2)</f>
        <v>16.119469594251544</v>
      </c>
      <c r="P29" s="31">
        <f>SQRT((INDEX(US_x,14)-INDEX(US_x,13))^2+(INDEX(US_y,14)-INDEX(US_y,13))^2)</f>
        <v>6.458769232601515</v>
      </c>
      <c r="Q29" s="31" t="s">
        <v>30</v>
      </c>
      <c r="R29" s="31">
        <f>SQRT((INDEX(US_x,14)-INDEX(US_x,15))^2+(INDEX(US_y,14)-INDEX(US_y,15))^2)</f>
        <v>18.52060744144209</v>
      </c>
      <c r="S29" s="31">
        <f>SQRT((INDEX(US_x,14)-INDEX(US_x,16))^2+(INDEX(US_y,14)-INDEX(US_y,16))^2)</f>
        <v>20.250878993268415</v>
      </c>
      <c r="T29" s="31">
        <f>SQRT((INDEX(US_x,14)-INDEX(US_x,17))^2+(INDEX(US_y,14)-INDEX(US_y,17))^2)</f>
        <v>43.4858620703327</v>
      </c>
      <c r="U29" s="31">
        <f>SQRT((INDEX(US_x,14)-INDEX(US_x,18))^2+(INDEX(US_y,14)-INDEX(US_y,18))^2)</f>
        <v>32.46617470537606</v>
      </c>
      <c r="V29" s="31">
        <f>SQRT((INDEX(US_x,14)-INDEX(US_x,19))^2+(INDEX(US_y,14)-INDEX(US_y,19))^2)</f>
        <v>41.18220975129916</v>
      </c>
      <c r="W29" s="31">
        <f>SQRT((INDEX(US_x,14)-INDEX(US_x,20))^2+(INDEX(US_y,14)-INDEX(US_y,20))^2)</f>
        <v>19.969026015306806</v>
      </c>
      <c r="X29" s="31">
        <f>SQRT((INDEX(US_x,14)-INDEX(US_x,21))^2+(INDEX(US_y,14)-INDEX(US_y,21))^2)</f>
        <v>13.402227426812301</v>
      </c>
      <c r="Y29" s="31">
        <f>SQRT((INDEX(US_x,14)-INDEX(US_x,22))^2+(INDEX(US_y,14)-INDEX(US_y,22))^2)</f>
        <v>17.529249841336625</v>
      </c>
      <c r="Z29" s="31">
        <f>SQRT((INDEX(US_x,14)-INDEX(US_x,23))^2+(INDEX(US_y,14)-INDEX(US_y,23))^2)</f>
        <v>6.051264330699829</v>
      </c>
      <c r="AA29" s="31">
        <f>SQRT((INDEX(US_x,14)-INDEX(US_x,24))^2+(INDEX(US_y,14)-INDEX(US_y,24))^2)</f>
        <v>30.77907893358734</v>
      </c>
      <c r="AB29" s="33">
        <f>SQRT((INDEX(US_x,14)-INDEX(US_x,25))^2+(INDEX(US_y,14)-INDEX(US_y,25))^2)</f>
        <v>4.188006685763523</v>
      </c>
      <c r="AC29" s="31">
        <f>SQRT((INDEX(US_x,14)-INDEX(US_x,26))^2+(INDEX(US_y,14)-INDEX(US_y,26))^2)</f>
        <v>40.692517739751615</v>
      </c>
      <c r="AD29" s="31">
        <f>SQRT((INDEX(US_x,14)-INDEX(US_x,27))^2+(INDEX(US_y,14)-INDEX(US_y,27))^2)</f>
        <v>40.51160944716958</v>
      </c>
      <c r="AE29" s="31">
        <f>SQRT((INDEX(US_x,14)-INDEX(US_x,28))^2+(INDEX(US_y,14)-INDEX(US_y,28))^2)</f>
        <v>35.165262689193725</v>
      </c>
      <c r="AF29" s="31">
        <f>SQRT((INDEX(US_x,14)-INDEX(US_x,29))^2+(INDEX(US_y,14)-INDEX(US_y,29))^2)</f>
        <v>19.222554460841046</v>
      </c>
      <c r="AG29" s="31">
        <f>SQRT((INDEX(US_x,14)-INDEX(US_x,30))^2+(INDEX(US_y,14)-INDEX(US_y,30))^2)</f>
        <v>36.8963968430523</v>
      </c>
      <c r="AH29" s="31">
        <f>SQRT((INDEX(US_x,14)-INDEX(US_x,31))^2+(INDEX(US_y,14)-INDEX(US_y,31))^2)</f>
        <v>30.313767499273336</v>
      </c>
      <c r="AI29" s="31">
        <f>SQRT((INDEX(US_x,14)-INDEX(US_x,32))^2+(INDEX(US_y,14)-INDEX(US_y,32))^2)</f>
        <v>18.659016587162352</v>
      </c>
      <c r="AJ29" s="31">
        <f>SQRT((INDEX(US_x,14)-INDEX(US_x,33))^2+(INDEX(US_y,14)-INDEX(US_y,33))^2)</f>
        <v>21.414107499496687</v>
      </c>
      <c r="AK29" s="31">
        <f>SQRT((INDEX(US_x,14)-INDEX(US_x,34))^2+(INDEX(US_y,14)-INDEX(US_y,34))^2)</f>
        <v>8.370095578904701</v>
      </c>
      <c r="AL29" s="31">
        <f>SQRT((INDEX(US_x,14)-INDEX(US_x,35))^2+(INDEX(US_y,14)-INDEX(US_y,35))^2)</f>
        <v>45.92568126876291</v>
      </c>
      <c r="AM29" s="31">
        <f>SQRT((INDEX(US_x,14)-INDEX(US_x,36))^2+(INDEX(US_y,14)-INDEX(US_y,36))^2)</f>
        <v>31.607011880277458</v>
      </c>
      <c r="AN29" s="31">
        <f>SQRT((INDEX(US_x,14)-INDEX(US_x,37))^2+(INDEX(US_y,14)-INDEX(US_y,37))^2)</f>
        <v>40.59076249591772</v>
      </c>
      <c r="AO29" s="31">
        <f>SQRT((INDEX(US_x,14)-INDEX(US_x,38))^2+(INDEX(US_y,14)-INDEX(US_y,38))^2)</f>
        <v>27.878452252591075</v>
      </c>
      <c r="AP29" s="31">
        <f>SQRT((INDEX(US_x,14)-INDEX(US_x,39))^2+(INDEX(US_y,14)-INDEX(US_y,39))^2)</f>
        <v>13.794274174453683</v>
      </c>
      <c r="AQ29" s="31">
        <f>SQRT((INDEX(US_x,14)-INDEX(US_x,40))^2+(INDEX(US_y,14)-INDEX(US_y,40))^2)</f>
        <v>16.620111311299937</v>
      </c>
      <c r="AR29" s="31">
        <f>SQRT((INDEX(US_x,14)-INDEX(US_x,41))^2+(INDEX(US_y,14)-INDEX(US_y,41))^2)</f>
        <v>19.313606602600153</v>
      </c>
      <c r="AS29" s="31">
        <f>SQRT((INDEX(US_x,14)-INDEX(US_x,42))^2+(INDEX(US_y,14)-INDEX(US_y,42))^2)</f>
        <v>27.35977339087442</v>
      </c>
      <c r="AT29" s="31">
        <f>SQRT((INDEX(US_x,14)-INDEX(US_x,43))^2+(INDEX(US_y,14)-INDEX(US_y,43))^2)</f>
        <v>39.14169132779012</v>
      </c>
      <c r="AU29" s="31">
        <f>SQRT((INDEX(US_x,14)-INDEX(US_x,44))^2+(INDEX(US_y,14)-INDEX(US_y,44))^2)</f>
        <v>31.3723206027224</v>
      </c>
      <c r="AV29" s="31">
        <f>SQRT((INDEX(US_x,14)-INDEX(US_x,45))^2+(INDEX(US_y,14)-INDEX(US_y,45))^2)</f>
        <v>46.46427121993844</v>
      </c>
      <c r="AW29" s="31">
        <f>SQRT((INDEX(US_x,14)-INDEX(US_x,46))^2+(INDEX(US_y,14)-INDEX(US_y,46))^2)</f>
        <v>23.949507301821466</v>
      </c>
      <c r="AX29" s="31">
        <f>SQRT((INDEX(US_x,14)-INDEX(US_x,47))^2+(INDEX(US_y,14)-INDEX(US_y,47))^2)</f>
        <v>13.505769137668539</v>
      </c>
      <c r="AY29" s="31">
        <f>SQRT((INDEX(US_x,14)-INDEX(US_x,48))^2+(INDEX(US_y,14)-INDEX(US_y,48))^2)</f>
        <v>15.91719196340862</v>
      </c>
      <c r="AZ29" s="31" t="s">
        <v>30</v>
      </c>
      <c r="BA29" s="34">
        <v>46.12</v>
      </c>
      <c r="BB29" s="34">
        <v>20.35</v>
      </c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</row>
    <row r="30" spans="3:113" ht="15" thickBot="1" thickTop="1">
      <c r="C30" s="26">
        <v>15</v>
      </c>
      <c r="D30" s="31">
        <f>SQRT((INDEX(US_x,15)-INDEX(US_x,1))^2+(INDEX(US_y,15)-INDEX(US_y,1))^2)</f>
        <v>12.894452295464124</v>
      </c>
      <c r="E30" s="31">
        <f>SQRT((INDEX(US_x,15)-INDEX(US_x,2))^2+(INDEX(US_y,15)-INDEX(US_y,2))^2)</f>
        <v>49.061109852917106</v>
      </c>
      <c r="F30" s="31">
        <f>SQRT((INDEX(US_x,15)-INDEX(US_x,3))^2+(INDEX(US_y,15)-INDEX(US_y,3))^2)</f>
        <v>15.008564221803496</v>
      </c>
      <c r="G30" s="31">
        <f>SQRT((INDEX(US_x,15)-INDEX(US_x,4))^2+(INDEX(US_y,15)-INDEX(US_y,4))^2)</f>
        <v>62.2477951416755</v>
      </c>
      <c r="H30" s="31">
        <f>SQRT((INDEX(US_x,15)-INDEX(US_x,5))^2+(INDEX(US_y,15)-INDEX(US_y,5))^2)</f>
        <v>34.263312741181345</v>
      </c>
      <c r="I30" s="31">
        <f>SQRT((INDEX(US_x,15)-INDEX(US_x,6))^2+(INDEX(US_y,15)-INDEX(US_y,6))^2)</f>
        <v>21.773254235414605</v>
      </c>
      <c r="J30" s="31">
        <f>SQRT((INDEX(US_x,15)-INDEX(US_x,7))^2+(INDEX(US_y,15)-INDEX(US_y,7))^2)</f>
        <v>16.03173415448248</v>
      </c>
      <c r="K30" s="31">
        <f>SQRT((INDEX(US_x,15)-INDEX(US_x,8))^2+(INDEX(US_y,15)-INDEX(US_y,8))^2)</f>
        <v>16.866976611117952</v>
      </c>
      <c r="L30" s="31">
        <f>SQRT((INDEX(US_x,15)-INDEX(US_x,9))^2+(INDEX(US_y,15)-INDEX(US_y,9))^2)</f>
        <v>9.697448117932883</v>
      </c>
      <c r="M30" s="31">
        <f>SQRT((INDEX(US_x,15)-INDEX(US_x,10))^2+(INDEX(US_y,15)-INDEX(US_y,10))^2)</f>
        <v>52.732514637555454</v>
      </c>
      <c r="N30" s="31">
        <f>SQRT((INDEX(US_x,15)-INDEX(US_x,11))^2+(INDEX(US_y,15)-INDEX(US_y,11))^2)</f>
        <v>8.82366137156226</v>
      </c>
      <c r="O30" s="33">
        <f>SQRT((INDEX(US_x,15)-INDEX(US_x,12))^2+(INDEX(US_y,15)-INDEX(US_y,12))^2)</f>
        <v>4.052949543233915</v>
      </c>
      <c r="P30" s="31">
        <f>SQRT((INDEX(US_x,15)-INDEX(US_x,13))^2+(INDEX(US_y,15)-INDEX(US_y,13))^2)</f>
        <v>16.410246798875388</v>
      </c>
      <c r="Q30" s="31">
        <f>SQRT((INDEX(US_x,15)-INDEX(US_x,14))^2+(INDEX(US_y,15)-INDEX(US_y,14))^2)</f>
        <v>18.52060744144209</v>
      </c>
      <c r="R30" s="31" t="s">
        <v>30</v>
      </c>
      <c r="S30" s="31">
        <f>SQRT((INDEX(US_x,15)-INDEX(US_x,16))^2+(INDEX(US_y,15)-INDEX(US_y,16))^2)</f>
        <v>20.282494915566968</v>
      </c>
      <c r="T30" s="31">
        <f>SQRT((INDEX(US_x,15)-INDEX(US_x,17))^2+(INDEX(US_y,15)-INDEX(US_y,17))^2)</f>
        <v>28.022664041807307</v>
      </c>
      <c r="U30" s="31">
        <f>SQRT((INDEX(US_x,15)-INDEX(US_x,18))^2+(INDEX(US_y,15)-INDEX(US_y,18))^2)</f>
        <v>14.373148576425422</v>
      </c>
      <c r="V30" s="31">
        <f>SQRT((INDEX(US_x,15)-INDEX(US_x,19))^2+(INDEX(US_y,15)-INDEX(US_y,19))^2)</f>
        <v>24.657301149963672</v>
      </c>
      <c r="W30" s="31">
        <f>SQRT((INDEX(US_x,15)-INDEX(US_x,20))^2+(INDEX(US_y,15)-INDEX(US_y,20))^2)</f>
        <v>9.852375348107683</v>
      </c>
      <c r="X30" s="31">
        <f>SQRT((INDEX(US_x,15)-INDEX(US_x,21))^2+(INDEX(US_y,15)-INDEX(US_y,21))^2)</f>
        <v>19.86225566243673</v>
      </c>
      <c r="Y30" s="31">
        <f>SQRT((INDEX(US_x,15)-INDEX(US_x,22))^2+(INDEX(US_y,15)-INDEX(US_y,22))^2)</f>
        <v>15.921196563072764</v>
      </c>
      <c r="Z30" s="31">
        <f>SQRT((INDEX(US_x,15)-INDEX(US_x,23))^2+(INDEX(US_y,15)-INDEX(US_y,23))^2)</f>
        <v>12.52559379829954</v>
      </c>
      <c r="AA30" s="31">
        <f>SQRT((INDEX(US_x,15)-INDEX(US_x,24))^2+(INDEX(US_y,15)-INDEX(US_y,24))^2)</f>
        <v>47.156836195826365</v>
      </c>
      <c r="AB30" s="31">
        <f>SQRT((INDEX(US_x,15)-INDEX(US_x,25))^2+(INDEX(US_y,15)-INDEX(US_y,25))^2)</f>
        <v>20.716951995889744</v>
      </c>
      <c r="AC30" s="31">
        <f>SQRT((INDEX(US_x,15)-INDEX(US_x,26))^2+(INDEX(US_y,15)-INDEX(US_y,26))^2)</f>
        <v>59.147200271864094</v>
      </c>
      <c r="AD30" s="31">
        <f>SQRT((INDEX(US_x,15)-INDEX(US_x,27))^2+(INDEX(US_y,15)-INDEX(US_y,27))^2)</f>
        <v>24.539274642906623</v>
      </c>
      <c r="AE30" s="31">
        <f>SQRT((INDEX(US_x,15)-INDEX(US_x,28))^2+(INDEX(US_y,15)-INDEX(US_y,28))^2)</f>
        <v>17.636439549977204</v>
      </c>
      <c r="AF30" s="31">
        <f>SQRT((INDEX(US_x,15)-INDEX(US_x,29))^2+(INDEX(US_y,15)-INDEX(US_y,29))^2)</f>
        <v>37.09747835096073</v>
      </c>
      <c r="AG30" s="31">
        <f>SQRT((INDEX(US_x,15)-INDEX(US_x,30))^2+(INDEX(US_y,15)-INDEX(US_y,30))^2)</f>
        <v>20.816709634329825</v>
      </c>
      <c r="AH30" s="31">
        <f>SQRT((INDEX(US_x,15)-INDEX(US_x,31))^2+(INDEX(US_y,15)-INDEX(US_y,31))^2)</f>
        <v>12.037973251340947</v>
      </c>
      <c r="AI30" s="31">
        <f>SQRT((INDEX(US_x,15)-INDEX(US_x,32))^2+(INDEX(US_y,15)-INDEX(US_y,32))^2)</f>
        <v>31.637458810719924</v>
      </c>
      <c r="AJ30" s="31">
        <f>SQRT((INDEX(US_x,15)-INDEX(US_x,33))^2+(INDEX(US_y,15)-INDEX(US_y,33))^2)</f>
        <v>4.963275128380456</v>
      </c>
      <c r="AK30" s="31">
        <f>SQRT((INDEX(US_x,15)-INDEX(US_x,34))^2+(INDEX(US_y,15)-INDEX(US_y,34))^2)</f>
        <v>22.867763336190094</v>
      </c>
      <c r="AL30" s="31">
        <f>SQRT((INDEX(US_x,15)-INDEX(US_x,35))^2+(INDEX(US_y,15)-INDEX(US_y,35))^2)</f>
        <v>63.41219519934632</v>
      </c>
      <c r="AM30" s="31">
        <f>SQRT((INDEX(US_x,15)-INDEX(US_x,36))^2+(INDEX(US_y,15)-INDEX(US_y,36))^2)</f>
        <v>14.188083027667977</v>
      </c>
      <c r="AN30" s="31">
        <f>SQRT((INDEX(US_x,15)-INDEX(US_x,37))^2+(INDEX(US_y,15)-INDEX(US_y,37))^2)</f>
        <v>23.786485658877822</v>
      </c>
      <c r="AO30" s="31">
        <f>SQRT((INDEX(US_x,15)-INDEX(US_x,38))^2+(INDEX(US_y,15)-INDEX(US_y,38))^2)</f>
        <v>11.33466364741363</v>
      </c>
      <c r="AP30" s="31">
        <f>SQRT((INDEX(US_x,15)-INDEX(US_x,39))^2+(INDEX(US_y,15)-INDEX(US_y,39))^2)</f>
        <v>28.66720251437171</v>
      </c>
      <c r="AQ30" s="31">
        <f>SQRT((INDEX(US_x,15)-INDEX(US_x,40))^2+(INDEX(US_y,15)-INDEX(US_y,40))^2)</f>
        <v>5.53244972864643</v>
      </c>
      <c r="AR30" s="31">
        <f>SQRT((INDEX(US_x,15)-INDEX(US_x,41))^2+(INDEX(US_y,15)-INDEX(US_y,41))^2)</f>
        <v>28.847691415432188</v>
      </c>
      <c r="AS30" s="31">
        <f>SQRT((INDEX(US_x,15)-INDEX(US_x,42))^2+(INDEX(US_y,15)-INDEX(US_y,42))^2)</f>
        <v>45.68890127810035</v>
      </c>
      <c r="AT30" s="31">
        <f>SQRT((INDEX(US_x,15)-INDEX(US_x,43))^2+(INDEX(US_y,15)-INDEX(US_y,43))^2)</f>
        <v>24.044011728494898</v>
      </c>
      <c r="AU30" s="31">
        <f>SQRT((INDEX(US_x,15)-INDEX(US_x,44))^2+(INDEX(US_y,15)-INDEX(US_y,44))^2)</f>
        <v>12.881692435390628</v>
      </c>
      <c r="AV30" s="31">
        <f>SQRT((INDEX(US_x,15)-INDEX(US_x,45))^2+(INDEX(US_y,15)-INDEX(US_y,45))^2)</f>
        <v>63.37003866181557</v>
      </c>
      <c r="AW30" s="31">
        <f>SQRT((INDEX(US_x,15)-INDEX(US_x,46))^2+(INDEX(US_y,15)-INDEX(US_y,46))^2)</f>
        <v>5.547071299343461</v>
      </c>
      <c r="AX30" s="31">
        <f>SQRT((INDEX(US_x,15)-INDEX(US_x,47))^2+(INDEX(US_y,15)-INDEX(US_y,47))^2)</f>
        <v>12.964833203709176</v>
      </c>
      <c r="AY30" s="31">
        <f>SQRT((INDEX(US_x,15)-INDEX(US_x,48))^2+(INDEX(US_y,15)-INDEX(US_y,48))^2)</f>
        <v>34.05592019018132</v>
      </c>
      <c r="AZ30" s="31" t="s">
        <v>30</v>
      </c>
      <c r="BA30" s="34">
        <v>63.47</v>
      </c>
      <c r="BB30" s="34">
        <v>26.83</v>
      </c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</row>
    <row r="31" spans="3:113" ht="15" thickBot="1" thickTop="1">
      <c r="C31" s="26">
        <v>16</v>
      </c>
      <c r="D31" s="31">
        <f>SQRT((INDEX(US_x,16)-INDEX(US_x,1))^2+(INDEX(US_y,16)-INDEX(US_y,1))^2)</f>
        <v>10.038849535678878</v>
      </c>
      <c r="E31" s="31">
        <f>SQRT((INDEX(US_x,16)-INDEX(US_x,2))^2+(INDEX(US_y,16)-INDEX(US_y,2))^2)</f>
        <v>39.296510023156</v>
      </c>
      <c r="F31" s="31">
        <f>SQRT((INDEX(US_x,16)-INDEX(US_x,3))^2+(INDEX(US_y,16)-INDEX(US_y,3))^2)</f>
        <v>9.502389173255326</v>
      </c>
      <c r="G31" s="31">
        <f>SQRT((INDEX(US_x,16)-INDEX(US_x,4))^2+(INDEX(US_y,16)-INDEX(US_y,4))^2)</f>
        <v>57.08591770305528</v>
      </c>
      <c r="H31" s="31">
        <f>SQRT((INDEX(US_x,16)-INDEX(US_x,5))^2+(INDEX(US_y,16)-INDEX(US_y,5))^2)</f>
        <v>31.782463718220463</v>
      </c>
      <c r="I31" s="31">
        <f>SQRT((INDEX(US_x,16)-INDEX(US_x,6))^2+(INDEX(US_y,16)-INDEX(US_y,6))^2)</f>
        <v>40.75478131458934</v>
      </c>
      <c r="J31" s="31">
        <f>SQRT((INDEX(US_x,16)-INDEX(US_x,7))^2+(INDEX(US_y,16)-INDEX(US_y,7))^2)</f>
        <v>33.81325923362017</v>
      </c>
      <c r="K31" s="31">
        <f>SQRT((INDEX(US_x,16)-INDEX(US_x,8))^2+(INDEX(US_y,16)-INDEX(US_y,8))^2)</f>
        <v>13.0375035953974</v>
      </c>
      <c r="L31" s="31">
        <f>SQRT((INDEX(US_x,16)-INDEX(US_x,9))^2+(INDEX(US_y,16)-INDEX(US_y,9))^2)</f>
        <v>14.506333099718896</v>
      </c>
      <c r="M31" s="31">
        <f>SQRT((INDEX(US_x,16)-INDEX(US_x,10))^2+(INDEX(US_y,16)-INDEX(US_y,10))^2)</f>
        <v>51.8212552916272</v>
      </c>
      <c r="N31" s="31">
        <f>SQRT((INDEX(US_x,16)-INDEX(US_x,11))^2+(INDEX(US_y,16)-INDEX(US_y,11))^2)</f>
        <v>20.3967889629716</v>
      </c>
      <c r="O31" s="31">
        <f>SQRT((INDEX(US_x,16)-INDEX(US_x,12))^2+(INDEX(US_y,16)-INDEX(US_y,12))^2)</f>
        <v>22.071565417976135</v>
      </c>
      <c r="P31" s="31">
        <f>SQRT((INDEX(US_x,16)-INDEX(US_x,13))^2+(INDEX(US_y,16)-INDEX(US_y,13))^2)</f>
        <v>24.459816025473287</v>
      </c>
      <c r="Q31" s="31">
        <f>SQRT((INDEX(US_x,16)-INDEX(US_x,14))^2+(INDEX(US_y,16)-INDEX(US_y,14))^2)</f>
        <v>20.250878993268415</v>
      </c>
      <c r="R31" s="31">
        <f>SQRT((INDEX(US_x,16)-INDEX(US_x,15))^2+(INDEX(US_y,16)-INDEX(US_y,15))^2)</f>
        <v>20.282494915566968</v>
      </c>
      <c r="S31" s="31" t="s">
        <v>30</v>
      </c>
      <c r="T31" s="31">
        <f>SQRT((INDEX(US_x,16)-INDEX(US_x,17))^2+(INDEX(US_y,16)-INDEX(US_y,17))^2)</f>
        <v>47.58911745346829</v>
      </c>
      <c r="U31" s="31">
        <f>SQRT((INDEX(US_x,16)-INDEX(US_x,18))^2+(INDEX(US_y,16)-INDEX(US_y,18))^2)</f>
        <v>32.19979192479355</v>
      </c>
      <c r="V31" s="31">
        <f>SQRT((INDEX(US_x,16)-INDEX(US_x,19))^2+(INDEX(US_y,16)-INDEX(US_y,19))^2)</f>
        <v>43.67555494781949</v>
      </c>
      <c r="W31" s="31">
        <f>SQRT((INDEX(US_x,16)-INDEX(US_x,20))^2+(INDEX(US_y,16)-INDEX(US_y,20))^2)</f>
        <v>28.993987307716058</v>
      </c>
      <c r="X31" s="31">
        <f>SQRT((INDEX(US_x,16)-INDEX(US_x,21))^2+(INDEX(US_y,16)-INDEX(US_y,21))^2)</f>
        <v>31.50773873193695</v>
      </c>
      <c r="Y31" s="31">
        <f>SQRT((INDEX(US_x,16)-INDEX(US_x,22))^2+(INDEX(US_y,16)-INDEX(US_y,22))^2)</f>
        <v>4.410408144378476</v>
      </c>
      <c r="Z31" s="31">
        <f>SQRT((INDEX(US_x,16)-INDEX(US_x,23))^2+(INDEX(US_y,16)-INDEX(US_y,23))^2)</f>
        <v>17.645489508653476</v>
      </c>
      <c r="AA31" s="31">
        <f>SQRT((INDEX(US_x,16)-INDEX(US_x,24))^2+(INDEX(US_y,16)-INDEX(US_y,24))^2)</f>
        <v>49.59463277412184</v>
      </c>
      <c r="AB31" s="31">
        <f>SQRT((INDEX(US_x,16)-INDEX(US_x,25))^2+(INDEX(US_y,16)-INDEX(US_y,25))^2)</f>
        <v>24.438512638865728</v>
      </c>
      <c r="AC31" s="31">
        <f>SQRT((INDEX(US_x,16)-INDEX(US_x,26))^2+(INDEX(US_y,16)-INDEX(US_y,26))^2)</f>
        <v>54.42443660709774</v>
      </c>
      <c r="AD31" s="31">
        <f>SQRT((INDEX(US_x,16)-INDEX(US_x,27))^2+(INDEX(US_y,16)-INDEX(US_y,27))^2)</f>
        <v>43.95361646099215</v>
      </c>
      <c r="AE31" s="31">
        <f>SQRT((INDEX(US_x,16)-INDEX(US_x,28))^2+(INDEX(US_y,16)-INDEX(US_y,28))^2)</f>
        <v>36.0911346455054</v>
      </c>
      <c r="AF31" s="31">
        <f>SQRT((INDEX(US_x,16)-INDEX(US_x,29))^2+(INDEX(US_y,16)-INDEX(US_y,29))^2)</f>
        <v>29.312913536528573</v>
      </c>
      <c r="AG31" s="31">
        <f>SQRT((INDEX(US_x,16)-INDEX(US_x,30))^2+(INDEX(US_y,16)-INDEX(US_y,30))^2)</f>
        <v>40.3393034149079</v>
      </c>
      <c r="AH31" s="31">
        <f>SQRT((INDEX(US_x,16)-INDEX(US_x,31))^2+(INDEX(US_y,16)-INDEX(US_y,31))^2)</f>
        <v>25.716275002418218</v>
      </c>
      <c r="AI31" s="31">
        <f>SQRT((INDEX(US_x,16)-INDEX(US_x,32))^2+(INDEX(US_y,16)-INDEX(US_y,32))^2)</f>
        <v>38.909561806836116</v>
      </c>
      <c r="AJ31" s="31">
        <f>SQRT((INDEX(US_x,16)-INDEX(US_x,33))^2+(INDEX(US_y,16)-INDEX(US_y,33))^2)</f>
        <v>25.24237904794237</v>
      </c>
      <c r="AK31" s="31">
        <f>SQRT((INDEX(US_x,16)-INDEX(US_x,34))^2+(INDEX(US_y,16)-INDEX(US_y,34))^2)</f>
        <v>15.89604353290466</v>
      </c>
      <c r="AL31" s="31">
        <f>SQRT((INDEX(US_x,16)-INDEX(US_x,35))^2+(INDEX(US_y,16)-INDEX(US_y,35))^2)</f>
        <v>62.77600258060401</v>
      </c>
      <c r="AM31" s="31">
        <f>SQRT((INDEX(US_x,16)-INDEX(US_x,36))^2+(INDEX(US_y,16)-INDEX(US_y,36))^2)</f>
        <v>33.12699956229057</v>
      </c>
      <c r="AN31" s="31">
        <f>SQRT((INDEX(US_x,16)-INDEX(US_x,37))^2+(INDEX(US_y,16)-INDEX(US_y,37))^2)</f>
        <v>42.60575195909586</v>
      </c>
      <c r="AO31" s="31">
        <f>SQRT((INDEX(US_x,16)-INDEX(US_x,38))^2+(INDEX(US_y,16)-INDEX(US_y,38))^2)</f>
        <v>20.32695255073913</v>
      </c>
      <c r="AP31" s="31">
        <f>SQRT((INDEX(US_x,16)-INDEX(US_x,39))^2+(INDEX(US_y,16)-INDEX(US_y,39))^2)</f>
        <v>33.97900675417102</v>
      </c>
      <c r="AQ31" s="31">
        <f>SQRT((INDEX(US_x,16)-INDEX(US_x,40))^2+(INDEX(US_y,16)-INDEX(US_y,40))^2)</f>
        <v>14.751447386612611</v>
      </c>
      <c r="AR31" s="33">
        <f>SQRT((INDEX(US_x,16)-INDEX(US_x,41))^2+(INDEX(US_y,16)-INDEX(US_y,41))^2)</f>
        <v>12.404535460870752</v>
      </c>
      <c r="AS31" s="31">
        <f>SQRT((INDEX(US_x,16)-INDEX(US_x,42))^2+(INDEX(US_y,16)-INDEX(US_y,42))^2)</f>
        <v>42.865465120537294</v>
      </c>
      <c r="AT31" s="31">
        <f>SQRT((INDEX(US_x,16)-INDEX(US_x,43))^2+(INDEX(US_y,16)-INDEX(US_y,43))^2)</f>
        <v>43.89627432937789</v>
      </c>
      <c r="AU31" s="31">
        <f>SQRT((INDEX(US_x,16)-INDEX(US_x,44))^2+(INDEX(US_y,16)-INDEX(US_y,44))^2)</f>
        <v>29.275423139555134</v>
      </c>
      <c r="AV31" s="31">
        <f>SQRT((INDEX(US_x,16)-INDEX(US_x,45))^2+(INDEX(US_y,16)-INDEX(US_y,45))^2)</f>
        <v>64.1883618734736</v>
      </c>
      <c r="AW31" s="31">
        <f>SQRT((INDEX(US_x,16)-INDEX(US_x,46))^2+(INDEX(US_y,16)-INDEX(US_y,46))^2)</f>
        <v>24.271332884701653</v>
      </c>
      <c r="AX31" s="31">
        <f>SQRT((INDEX(US_x,16)-INDEX(US_x,47))^2+(INDEX(US_y,16)-INDEX(US_y,47))^2)</f>
        <v>27.482730941447574</v>
      </c>
      <c r="AY31" s="31">
        <f>SQRT((INDEX(US_x,16)-INDEX(US_x,48))^2+(INDEX(US_y,16)-INDEX(US_y,48))^2)</f>
        <v>33.3640300323567</v>
      </c>
      <c r="AZ31" s="31" t="s">
        <v>30</v>
      </c>
      <c r="BA31" s="34">
        <v>61.07</v>
      </c>
      <c r="BB31" s="34">
        <v>6.69</v>
      </c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</row>
    <row r="32" spans="3:113" ht="15" thickBot="1" thickTop="1">
      <c r="C32" s="26">
        <v>17</v>
      </c>
      <c r="D32" s="31">
        <f>SQRT((INDEX(US_x,17)-INDEX(US_x,1))^2+(INDEX(US_y,17)-INDEX(US_y,1))^2)</f>
        <v>38.32687046968485</v>
      </c>
      <c r="E32" s="31">
        <f>SQRT((INDEX(US_x,17)-INDEX(US_x,2))^2+(INDEX(US_y,17)-INDEX(US_y,2))^2)</f>
        <v>74.62785002932887</v>
      </c>
      <c r="F32" s="31">
        <f>SQRT((INDEX(US_x,17)-INDEX(US_x,3))^2+(INDEX(US_y,17)-INDEX(US_y,3))^2)</f>
        <v>42.97459831109536</v>
      </c>
      <c r="G32" s="31">
        <f>SQRT((INDEX(US_x,17)-INDEX(US_x,4))^2+(INDEX(US_y,17)-INDEX(US_y,4))^2)</f>
        <v>84.16991683493575</v>
      </c>
      <c r="H32" s="31">
        <f>SQRT((INDEX(US_x,17)-INDEX(US_x,5))^2+(INDEX(US_y,17)-INDEX(US_y,5))^2)</f>
        <v>57.483424567435094</v>
      </c>
      <c r="I32" s="31">
        <f>SQRT((INDEX(US_x,17)-INDEX(US_x,6))^2+(INDEX(US_y,17)-INDEX(US_y,6))^2)</f>
        <v>7.2600619832064845</v>
      </c>
      <c r="J32" s="31">
        <f>SQRT((INDEX(US_x,17)-INDEX(US_x,7))^2+(INDEX(US_y,17)-INDEX(US_y,7))^2)</f>
        <v>14.684917432522397</v>
      </c>
      <c r="K32" s="31">
        <f>SQRT((INDEX(US_x,17)-INDEX(US_x,8))^2+(INDEX(US_y,17)-INDEX(US_y,8))^2)</f>
        <v>39.312557790100605</v>
      </c>
      <c r="L32" s="31">
        <f>SQRT((INDEX(US_x,17)-INDEX(US_x,9))^2+(INDEX(US_y,17)-INDEX(US_y,9))^2)</f>
        <v>33.75169625366998</v>
      </c>
      <c r="M32" s="31">
        <f>SQRT((INDEX(US_x,17)-INDEX(US_x,10))^2+(INDEX(US_y,17)-INDEX(US_y,10))^2)</f>
        <v>72.15623742962211</v>
      </c>
      <c r="N32" s="31">
        <f>SQRT((INDEX(US_x,17)-INDEX(US_x,11))^2+(INDEX(US_y,17)-INDEX(US_y,11))^2)</f>
        <v>33.52392131001384</v>
      </c>
      <c r="O32" s="31">
        <f>SQRT((INDEX(US_x,17)-INDEX(US_x,12))^2+(INDEX(US_y,17)-INDEX(US_y,12))^2)</f>
        <v>28.234030884731993</v>
      </c>
      <c r="P32" s="31">
        <f>SQRT((INDEX(US_x,17)-INDEX(US_x,13))^2+(INDEX(US_y,17)-INDEX(US_y,13))^2)</f>
        <v>38.391568084671924</v>
      </c>
      <c r="Q32" s="31">
        <f>SQRT((INDEX(US_x,17)-INDEX(US_x,14))^2+(INDEX(US_y,17)-INDEX(US_y,14))^2)</f>
        <v>43.4858620703327</v>
      </c>
      <c r="R32" s="31">
        <f>SQRT((INDEX(US_x,17)-INDEX(US_x,15))^2+(INDEX(US_y,17)-INDEX(US_y,15))^2)</f>
        <v>28.022664041807307</v>
      </c>
      <c r="S32" s="31">
        <f>SQRT((INDEX(US_x,17)-INDEX(US_x,16))^2+(INDEX(US_y,17)-INDEX(US_y,16))^2)</f>
        <v>47.58911745346829</v>
      </c>
      <c r="T32" s="31" t="s">
        <v>30</v>
      </c>
      <c r="U32" s="31">
        <f>SQRT((INDEX(US_x,17)-INDEX(US_x,18))^2+(INDEX(US_y,17)-INDEX(US_y,18))^2)</f>
        <v>16.009487811919534</v>
      </c>
      <c r="V32" s="31">
        <f>SQRT((INDEX(US_x,17)-INDEX(US_x,19))^2+(INDEX(US_y,17)-INDEX(US_y,19))^2)</f>
        <v>4.766151487311334</v>
      </c>
      <c r="W32" s="31">
        <f>SQRT((INDEX(US_x,17)-INDEX(US_x,20))^2+(INDEX(US_y,17)-INDEX(US_y,20))^2)</f>
        <v>23.58315076489993</v>
      </c>
      <c r="X32" s="31">
        <f>SQRT((INDEX(US_x,17)-INDEX(US_x,21))^2+(INDEX(US_y,17)-INDEX(US_y,21))^2)</f>
        <v>36.16435952702606</v>
      </c>
      <c r="Y32" s="31">
        <f>SQRT((INDEX(US_x,17)-INDEX(US_x,22))^2+(INDEX(US_y,17)-INDEX(US_y,22))^2)</f>
        <v>43.448332534172124</v>
      </c>
      <c r="Z32" s="31">
        <f>SQRT((INDEX(US_x,17)-INDEX(US_x,23))^2+(INDEX(US_y,17)-INDEX(US_y,23))^2)</f>
        <v>38.509411836588725</v>
      </c>
      <c r="AA32" s="31">
        <f>SQRT((INDEX(US_x,17)-INDEX(US_x,24))^2+(INDEX(US_y,17)-INDEX(US_y,24))^2)</f>
        <v>64.3250410027075</v>
      </c>
      <c r="AB32" s="31">
        <f>SQRT((INDEX(US_x,17)-INDEX(US_x,25))^2+(INDEX(US_y,17)-INDEX(US_y,25))^2)</f>
        <v>43.712080710027976</v>
      </c>
      <c r="AC32" s="31">
        <f>SQRT((INDEX(US_x,17)-INDEX(US_x,26))^2+(INDEX(US_y,17)-INDEX(US_y,26))^2)</f>
        <v>80.9714641092774</v>
      </c>
      <c r="AD32" s="33">
        <f>SQRT((INDEX(US_x,17)-INDEX(US_x,27))^2+(INDEX(US_y,17)-INDEX(US_y,27))^2)</f>
        <v>3.692709032675069</v>
      </c>
      <c r="AE32" s="31">
        <f>SQRT((INDEX(US_x,17)-INDEX(US_x,28))^2+(INDEX(US_y,17)-INDEX(US_y,28))^2)</f>
        <v>12.050348542677098</v>
      </c>
      <c r="AF32" s="31">
        <f>SQRT((INDEX(US_x,17)-INDEX(US_x,29))^2+(INDEX(US_y,17)-INDEX(US_y,29))^2)</f>
        <v>62.66381731110866</v>
      </c>
      <c r="AG32" s="31">
        <f>SQRT((INDEX(US_x,17)-INDEX(US_x,30))^2+(INDEX(US_y,17)-INDEX(US_y,30))^2)</f>
        <v>7.257857810676648</v>
      </c>
      <c r="AH32" s="31">
        <f>SQRT((INDEX(US_x,17)-INDEX(US_x,31))^2+(INDEX(US_y,17)-INDEX(US_y,31))^2)</f>
        <v>23.839137987771288</v>
      </c>
      <c r="AI32" s="31">
        <f>SQRT((INDEX(US_x,17)-INDEX(US_x,32))^2+(INDEX(US_y,17)-INDEX(US_y,32))^2)</f>
        <v>47.531670494523965</v>
      </c>
      <c r="AJ32" s="31">
        <f>SQRT((INDEX(US_x,17)-INDEX(US_x,33))^2+(INDEX(US_y,17)-INDEX(US_y,33))^2)</f>
        <v>23.34169231225534</v>
      </c>
      <c r="AK32" s="31">
        <f>SQRT((INDEX(US_x,17)-INDEX(US_x,34))^2+(INDEX(US_y,17)-INDEX(US_y,34))^2)</f>
        <v>49.90611685955941</v>
      </c>
      <c r="AL32" s="31">
        <f>SQRT((INDEX(US_x,17)-INDEX(US_x,35))^2+(INDEX(US_y,17)-INDEX(US_y,35))^2)</f>
        <v>81.47807557864876</v>
      </c>
      <c r="AM32" s="31">
        <f>SQRT((INDEX(US_x,17)-INDEX(US_x,36))^2+(INDEX(US_y,17)-INDEX(US_y,36))^2)</f>
        <v>14.511354175265659</v>
      </c>
      <c r="AN32" s="31">
        <f>SQRT((INDEX(US_x,17)-INDEX(US_x,37))^2+(INDEX(US_y,17)-INDEX(US_y,37))^2)</f>
        <v>6.080476954976478</v>
      </c>
      <c r="AO32" s="31">
        <f>SQRT((INDEX(US_x,17)-INDEX(US_x,38))^2+(INDEX(US_y,17)-INDEX(US_y,38))^2)</f>
        <v>29.48145349198374</v>
      </c>
      <c r="AP32" s="31">
        <f>SQRT((INDEX(US_x,17)-INDEX(US_x,39))^2+(INDEX(US_y,17)-INDEX(US_y,39))^2)</f>
        <v>47.516475037611954</v>
      </c>
      <c r="AQ32" s="31">
        <f>SQRT((INDEX(US_x,17)-INDEX(US_x,40))^2+(INDEX(US_y,17)-INDEX(US_y,40))^2)</f>
        <v>33.30465583067929</v>
      </c>
      <c r="AR32" s="31">
        <f>SQRT((INDEX(US_x,17)-INDEX(US_x,41))^2+(INDEX(US_y,17)-INDEX(US_y,41))^2)</f>
        <v>56.86634505575332</v>
      </c>
      <c r="AS32" s="31">
        <f>SQRT((INDEX(US_x,17)-INDEX(US_x,42))^2+(INDEX(US_y,17)-INDEX(US_y,42))^2)</f>
        <v>67.45461437144237</v>
      </c>
      <c r="AT32" s="31">
        <f>SQRT((INDEX(US_x,17)-INDEX(US_x,43))^2+(INDEX(US_y,17)-INDEX(US_y,43))^2)</f>
        <v>4.367905676637263</v>
      </c>
      <c r="AU32" s="31">
        <f>SQRT((INDEX(US_x,17)-INDEX(US_x,44))^2+(INDEX(US_y,17)-INDEX(US_y,44))^2)</f>
        <v>19.476727137791915</v>
      </c>
      <c r="AV32" s="31">
        <f>SQRT((INDEX(US_x,17)-INDEX(US_x,45))^2+(INDEX(US_y,17)-INDEX(US_y,45))^2)</f>
        <v>80.04078023107971</v>
      </c>
      <c r="AW32" s="31">
        <f>SQRT((INDEX(US_x,17)-INDEX(US_x,46))^2+(INDEX(US_y,17)-INDEX(US_y,46))^2)</f>
        <v>23.3385882177993</v>
      </c>
      <c r="AX32" s="31">
        <f>SQRT((INDEX(US_x,17)-INDEX(US_x,47))^2+(INDEX(US_y,17)-INDEX(US_y,47))^2)</f>
        <v>30.975719523523583</v>
      </c>
      <c r="AY32" s="31">
        <f>SQRT((INDEX(US_x,17)-INDEX(US_x,48))^2+(INDEX(US_y,17)-INDEX(US_y,48))^2)</f>
        <v>56.17856174734273</v>
      </c>
      <c r="AZ32" s="31" t="s">
        <v>30</v>
      </c>
      <c r="BA32" s="34">
        <v>76.11</v>
      </c>
      <c r="BB32" s="34">
        <v>51.84</v>
      </c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</row>
    <row r="33" spans="3:113" ht="15" thickBot="1" thickTop="1">
      <c r="C33" s="26">
        <v>18</v>
      </c>
      <c r="D33" s="31">
        <f>SQRT((INDEX(US_x,18)-INDEX(US_x,1))^2+(INDEX(US_y,18)-INDEX(US_y,1))^2)</f>
        <v>22.57598945782886</v>
      </c>
      <c r="E33" s="31">
        <f>SQRT((INDEX(US_x,18)-INDEX(US_x,2))^2+(INDEX(US_y,18)-INDEX(US_y,2))^2)</f>
        <v>63.37100362153026</v>
      </c>
      <c r="F33" s="31">
        <f>SQRT((INDEX(US_x,18)-INDEX(US_x,3))^2+(INDEX(US_y,18)-INDEX(US_y,3))^2)</f>
        <v>29.024437979054824</v>
      </c>
      <c r="G33" s="31">
        <f>SQRT((INDEX(US_x,18)-INDEX(US_x,4))^2+(INDEX(US_y,18)-INDEX(US_y,4))^2)</f>
        <v>75.7725029281731</v>
      </c>
      <c r="H33" s="31">
        <f>SQRT((INDEX(US_x,18)-INDEX(US_x,5))^2+(INDEX(US_y,18)-INDEX(US_y,5))^2)</f>
        <v>47.92840076614282</v>
      </c>
      <c r="I33" s="31">
        <f>SQRT((INDEX(US_x,18)-INDEX(US_x,6))^2+(INDEX(US_y,18)-INDEX(US_y,6))^2)</f>
        <v>8.801931606187358</v>
      </c>
      <c r="J33" s="31">
        <f>SQRT((INDEX(US_x,18)-INDEX(US_x,7))^2+(INDEX(US_y,18)-INDEX(US_y,7))^2)</f>
        <v>1.6791962362987818</v>
      </c>
      <c r="K33" s="31">
        <f>SQRT((INDEX(US_x,18)-INDEX(US_x,8))^2+(INDEX(US_y,18)-INDEX(US_y,8))^2)</f>
        <v>23.30341820420343</v>
      </c>
      <c r="L33" s="31">
        <f>SQRT((INDEX(US_x,18)-INDEX(US_x,9))^2+(INDEX(US_y,18)-INDEX(US_y,9))^2)</f>
        <v>17.9586218847661</v>
      </c>
      <c r="M33" s="31">
        <f>SQRT((INDEX(US_x,18)-INDEX(US_x,10))^2+(INDEX(US_y,18)-INDEX(US_y,10))^2)</f>
        <v>65.34307997026158</v>
      </c>
      <c r="N33" s="31">
        <f>SQRT((INDEX(US_x,18)-INDEX(US_x,11))^2+(INDEX(US_y,18)-INDEX(US_y,11))^2)</f>
        <v>22.235763985075938</v>
      </c>
      <c r="O33" s="31">
        <f>SQRT((INDEX(US_x,18)-INDEX(US_x,12))^2+(INDEX(US_y,18)-INDEX(US_y,12))^2)</f>
        <v>16.382362466994806</v>
      </c>
      <c r="P33" s="31">
        <f>SQRT((INDEX(US_x,18)-INDEX(US_x,13))^2+(INDEX(US_y,18)-INDEX(US_y,13))^2)</f>
        <v>29.042369049373367</v>
      </c>
      <c r="Q33" s="31">
        <f>SQRT((INDEX(US_x,18)-INDEX(US_x,14))^2+(INDEX(US_y,18)-INDEX(US_y,14))^2)</f>
        <v>32.46617470537606</v>
      </c>
      <c r="R33" s="31">
        <f>SQRT((INDEX(US_x,18)-INDEX(US_x,15))^2+(INDEX(US_y,18)-INDEX(US_y,15))^2)</f>
        <v>14.373148576425422</v>
      </c>
      <c r="S33" s="31">
        <f>SQRT((INDEX(US_x,18)-INDEX(US_x,16))^2+(INDEX(US_y,18)-INDEX(US_y,16))^2)</f>
        <v>32.19979192479355</v>
      </c>
      <c r="T33" s="31">
        <f>SQRT((INDEX(US_x,18)-INDEX(US_x,17))^2+(INDEX(US_y,18)-INDEX(US_y,17))^2)</f>
        <v>16.009487811919534</v>
      </c>
      <c r="U33" s="31" t="s">
        <v>30</v>
      </c>
      <c r="V33" s="31">
        <f>SQRT((INDEX(US_x,18)-INDEX(US_x,19))^2+(INDEX(US_y,18)-INDEX(US_y,19))^2)</f>
        <v>11.6472700664147</v>
      </c>
      <c r="W33" s="31">
        <f>SQRT((INDEX(US_x,18)-INDEX(US_x,20))^2+(INDEX(US_y,18)-INDEX(US_y,20))^2)</f>
        <v>15.622691829515173</v>
      </c>
      <c r="X33" s="31">
        <f>SQRT((INDEX(US_x,18)-INDEX(US_x,21))^2+(INDEX(US_y,18)-INDEX(US_y,21))^2)</f>
        <v>29.87186301521886</v>
      </c>
      <c r="Y33" s="31">
        <f>SQRT((INDEX(US_x,18)-INDEX(US_x,22))^2+(INDEX(US_y,18)-INDEX(US_y,22))^2)</f>
        <v>28.289080932402168</v>
      </c>
      <c r="Z33" s="31">
        <f>SQRT((INDEX(US_x,18)-INDEX(US_x,23))^2+(INDEX(US_y,18)-INDEX(US_y,23))^2)</f>
        <v>26.65264152011954</v>
      </c>
      <c r="AA33" s="31">
        <f>SQRT((INDEX(US_x,18)-INDEX(US_x,24))^2+(INDEX(US_y,18)-INDEX(US_y,24))^2)</f>
        <v>58.810885046902676</v>
      </c>
      <c r="AB33" s="31">
        <f>SQRT((INDEX(US_x,18)-INDEX(US_x,25))^2+(INDEX(US_y,18)-INDEX(US_y,25))^2)</f>
        <v>34.002719008926334</v>
      </c>
      <c r="AC33" s="31">
        <f>SQRT((INDEX(US_x,18)-INDEX(US_x,26))^2+(INDEX(US_y,18)-INDEX(US_y,26))^2)</f>
        <v>72.62260323067467</v>
      </c>
      <c r="AD33" s="31">
        <f>SQRT((INDEX(US_x,18)-INDEX(US_x,27))^2+(INDEX(US_y,18)-INDEX(US_y,27))^2)</f>
        <v>12.325136916075211</v>
      </c>
      <c r="AE33" s="31">
        <f>SQRT((INDEX(US_x,18)-INDEX(US_x,28))^2+(INDEX(US_y,18)-INDEX(US_y,28))^2)</f>
        <v>3.989009902218847</v>
      </c>
      <c r="AF33" s="31">
        <f>SQRT((INDEX(US_x,18)-INDEX(US_x,29))^2+(INDEX(US_y,18)-INDEX(US_y,29))^2)</f>
        <v>51.37390485450761</v>
      </c>
      <c r="AG33" s="31">
        <f>SQRT((INDEX(US_x,18)-INDEX(US_x,30))^2+(INDEX(US_y,18)-INDEX(US_y,30))^2)</f>
        <v>9.225811617413402</v>
      </c>
      <c r="AH33" s="31">
        <f>SQRT((INDEX(US_x,18)-INDEX(US_x,31))^2+(INDEX(US_y,18)-INDEX(US_y,31))^2)</f>
        <v>7.933536411966605</v>
      </c>
      <c r="AI33" s="31">
        <f>SQRT((INDEX(US_x,18)-INDEX(US_x,32))^2+(INDEX(US_y,18)-INDEX(US_y,32))^2)</f>
        <v>42.26619689539148</v>
      </c>
      <c r="AJ33" s="31">
        <f>SQRT((INDEX(US_x,18)-INDEX(US_x,33))^2+(INDEX(US_y,18)-INDEX(US_y,33))^2)</f>
        <v>11.16774372915138</v>
      </c>
      <c r="AK33" s="31">
        <f>SQRT((INDEX(US_x,18)-INDEX(US_x,34))^2+(INDEX(US_y,18)-INDEX(US_y,34))^2)</f>
        <v>37.23839416516239</v>
      </c>
      <c r="AL33" s="31">
        <f>SQRT((INDEX(US_x,18)-INDEX(US_x,35))^2+(INDEX(US_y,18)-INDEX(US_y,35))^2)</f>
        <v>75.64826303359516</v>
      </c>
      <c r="AM33" s="31">
        <f>SQRT((INDEX(US_x,18)-INDEX(US_x,36))^2+(INDEX(US_y,18)-INDEX(US_y,36))^2)</f>
        <v>2.8551182112129796</v>
      </c>
      <c r="AN33" s="31">
        <f>SQRT((INDEX(US_x,18)-INDEX(US_x,37))^2+(INDEX(US_y,18)-INDEX(US_y,37))^2)</f>
        <v>10.488207663848007</v>
      </c>
      <c r="AO33" s="31">
        <f>SQRT((INDEX(US_x,18)-INDEX(US_x,38))^2+(INDEX(US_y,18)-INDEX(US_y,38))^2)</f>
        <v>13.47818978943389</v>
      </c>
      <c r="AP33" s="31">
        <f>SQRT((INDEX(US_x,18)-INDEX(US_x,39))^2+(INDEX(US_y,18)-INDEX(US_y,39))^2)</f>
        <v>40.501364174555896</v>
      </c>
      <c r="AQ33" s="31">
        <f>SQRT((INDEX(US_x,18)-INDEX(US_x,40))^2+(INDEX(US_y,18)-INDEX(US_y,40))^2)</f>
        <v>18.802941259281752</v>
      </c>
      <c r="AR33" s="31">
        <f>SQRT((INDEX(US_x,18)-INDEX(US_x,41))^2+(INDEX(US_y,18)-INDEX(US_y,41))^2)</f>
        <v>42.47120083068055</v>
      </c>
      <c r="AS33" s="31">
        <f>SQRT((INDEX(US_x,18)-INDEX(US_x,42))^2+(INDEX(US_y,18)-INDEX(US_y,42))^2)</f>
        <v>59.02758422974805</v>
      </c>
      <c r="AT33" s="31">
        <f>SQRT((INDEX(US_x,18)-INDEX(US_x,43))^2+(INDEX(US_y,18)-INDEX(US_y,43))^2)</f>
        <v>13.215918431951678</v>
      </c>
      <c r="AU33" s="33">
        <f>SQRT((INDEX(US_x,18)-INDEX(US_x,44))^2+(INDEX(US_y,18)-INDEX(US_y,44))^2)</f>
        <v>3.541327434734041</v>
      </c>
      <c r="AV33" s="31">
        <f>SQRT((INDEX(US_x,18)-INDEX(US_x,45))^2+(INDEX(US_y,18)-INDEX(US_y,45))^2)</f>
        <v>75.07842566276948</v>
      </c>
      <c r="AW33" s="31">
        <f>SQRT((INDEX(US_x,18)-INDEX(US_x,46))^2+(INDEX(US_y,18)-INDEX(US_y,46))^2)</f>
        <v>8.862471438599965</v>
      </c>
      <c r="AX33" s="31">
        <f>SQRT((INDEX(US_x,18)-INDEX(US_x,47))^2+(INDEX(US_y,18)-INDEX(US_y,47))^2)</f>
        <v>23.01076487212018</v>
      </c>
      <c r="AY33" s="31">
        <f>SQRT((INDEX(US_x,18)-INDEX(US_x,48))^2+(INDEX(US_y,18)-INDEX(US_y,48))^2)</f>
        <v>47.350422384599696</v>
      </c>
      <c r="AZ33" s="31" t="s">
        <v>30</v>
      </c>
      <c r="BA33" s="34">
        <v>74.62</v>
      </c>
      <c r="BB33" s="34">
        <v>35.9</v>
      </c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</row>
    <row r="34" spans="3:113" ht="15" thickBot="1" thickTop="1">
      <c r="C34" s="26">
        <v>19</v>
      </c>
      <c r="D34" s="31">
        <f>SQRT((INDEX(US_x,19)-INDEX(US_x,1))^2+(INDEX(US_y,19)-INDEX(US_y,1))^2)</f>
        <v>34.18903917924573</v>
      </c>
      <c r="E34" s="31">
        <f>SQRT((INDEX(US_x,19)-INDEX(US_x,2))^2+(INDEX(US_y,19)-INDEX(US_y,2))^2)</f>
        <v>72.42331806814708</v>
      </c>
      <c r="F34" s="31">
        <f>SQRT((INDEX(US_x,19)-INDEX(US_x,3))^2+(INDEX(US_y,19)-INDEX(US_y,3))^2)</f>
        <v>39.66384373708629</v>
      </c>
      <c r="G34" s="31">
        <f>SQRT((INDEX(US_x,19)-INDEX(US_x,4))^2+(INDEX(US_y,19)-INDEX(US_y,4))^2)</f>
        <v>82.95389382060372</v>
      </c>
      <c r="H34" s="31">
        <f>SQRT((INDEX(US_x,19)-INDEX(US_x,5))^2+(INDEX(US_y,19)-INDEX(US_y,5))^2)</f>
        <v>55.769831450345976</v>
      </c>
      <c r="I34" s="31">
        <f>SQRT((INDEX(US_x,19)-INDEX(US_x,6))^2+(INDEX(US_y,19)-INDEX(US_y,6))^2)</f>
        <v>2.92576485726382</v>
      </c>
      <c r="J34" s="31">
        <f>SQRT((INDEX(US_x,19)-INDEX(US_x,7))^2+(INDEX(US_y,19)-INDEX(US_y,7))^2)</f>
        <v>10.194753552685812</v>
      </c>
      <c r="K34" s="31">
        <f>SQRT((INDEX(US_x,19)-INDEX(US_x,8))^2+(INDEX(US_y,19)-INDEX(US_y,8))^2)</f>
        <v>34.864185061463864</v>
      </c>
      <c r="L34" s="31">
        <f>SQRT((INDEX(US_x,19)-INDEX(US_x,9))^2+(INDEX(US_y,19)-INDEX(US_y,9))^2)</f>
        <v>29.580060851864378</v>
      </c>
      <c r="M34" s="31">
        <f>SQRT((INDEX(US_x,19)-INDEX(US_x,10))^2+(INDEX(US_y,19)-INDEX(US_y,10))^2)</f>
        <v>71.39655173746137</v>
      </c>
      <c r="N34" s="31">
        <f>SQRT((INDEX(US_x,19)-INDEX(US_x,11))^2+(INDEX(US_y,19)-INDEX(US_y,11))^2)</f>
        <v>30.995781971100513</v>
      </c>
      <c r="O34" s="31">
        <f>SQRT((INDEX(US_x,19)-INDEX(US_x,12))^2+(INDEX(US_y,19)-INDEX(US_y,12))^2)</f>
        <v>25.41761003713763</v>
      </c>
      <c r="P34" s="31">
        <f>SQRT((INDEX(US_x,19)-INDEX(US_x,13))^2+(INDEX(US_y,19)-INDEX(US_y,13))^2)</f>
        <v>36.5445987801207</v>
      </c>
      <c r="Q34" s="31">
        <f>SQRT((INDEX(US_x,19)-INDEX(US_x,14))^2+(INDEX(US_y,19)-INDEX(US_y,14))^2)</f>
        <v>41.18220975129916</v>
      </c>
      <c r="R34" s="31">
        <f>SQRT((INDEX(US_x,19)-INDEX(US_x,15))^2+(INDEX(US_y,19)-INDEX(US_y,15))^2)</f>
        <v>24.657301149963672</v>
      </c>
      <c r="S34" s="31">
        <f>SQRT((INDEX(US_x,19)-INDEX(US_x,16))^2+(INDEX(US_y,19)-INDEX(US_y,16))^2)</f>
        <v>43.67555494781949</v>
      </c>
      <c r="T34" s="31">
        <f>SQRT((INDEX(US_x,19)-INDEX(US_x,17))^2+(INDEX(US_y,19)-INDEX(US_y,17))^2)</f>
        <v>4.766151487311334</v>
      </c>
      <c r="U34" s="31">
        <f>SQRT((INDEX(US_x,19)-INDEX(US_x,18))^2+(INDEX(US_y,19)-INDEX(US_y,18))^2)</f>
        <v>11.6472700664147</v>
      </c>
      <c r="V34" s="31" t="s">
        <v>30</v>
      </c>
      <c r="W34" s="31">
        <f>SQRT((INDEX(US_x,19)-INDEX(US_x,20))^2+(INDEX(US_y,19)-INDEX(US_y,20))^2)</f>
        <v>21.6943955896448</v>
      </c>
      <c r="X34" s="31">
        <f>SQRT((INDEX(US_x,19)-INDEX(US_x,21))^2+(INDEX(US_y,19)-INDEX(US_y,21))^2)</f>
        <v>35.19846161411035</v>
      </c>
      <c r="Y34" s="31">
        <f>SQRT((INDEX(US_x,19)-INDEX(US_x,22))^2+(INDEX(US_y,19)-INDEX(US_y,22))^2)</f>
        <v>39.64079968920909</v>
      </c>
      <c r="Z34" s="31">
        <f>SQRT((INDEX(US_x,19)-INDEX(US_x,23))^2+(INDEX(US_y,19)-INDEX(US_y,23))^2)</f>
        <v>35.87864267220821</v>
      </c>
      <c r="AA34" s="31">
        <f>SQRT((INDEX(US_x,19)-INDEX(US_x,24))^2+(INDEX(US_y,19)-INDEX(US_y,24))^2)</f>
        <v>63.92276355102304</v>
      </c>
      <c r="AB34" s="31">
        <f>SQRT((INDEX(US_x,19)-INDEX(US_x,25))^2+(INDEX(US_y,19)-INDEX(US_y,25))^2)</f>
        <v>41.827533993770174</v>
      </c>
      <c r="AC34" s="31">
        <f>SQRT((INDEX(US_x,19)-INDEX(US_x,26))^2+(INDEX(US_y,19)-INDEX(US_y,26))^2)</f>
        <v>79.76047768161872</v>
      </c>
      <c r="AD34" s="31">
        <f>SQRT((INDEX(US_x,19)-INDEX(US_x,27))^2+(INDEX(US_y,19)-INDEX(US_y,27))^2)</f>
        <v>2.013578903345977</v>
      </c>
      <c r="AE34" s="31">
        <f>SQRT((INDEX(US_x,19)-INDEX(US_x,28))^2+(INDEX(US_y,19)-INDEX(US_y,28))^2)</f>
        <v>7.661886190749632</v>
      </c>
      <c r="AF34" s="31">
        <f>SQRT((INDEX(US_x,19)-INDEX(US_x,29))^2+(INDEX(US_y,19)-INDEX(US_y,29))^2)</f>
        <v>60.402908870351595</v>
      </c>
      <c r="AG34" s="31">
        <f>SQRT((INDEX(US_x,19)-INDEX(US_x,30))^2+(INDEX(US_y,19)-INDEX(US_y,30))^2)</f>
        <v>4.375945612093454</v>
      </c>
      <c r="AH34" s="31">
        <f>SQRT((INDEX(US_x,19)-INDEX(US_x,31))^2+(INDEX(US_y,19)-INDEX(US_y,31))^2)</f>
        <v>19.310756070128374</v>
      </c>
      <c r="AI34" s="31">
        <f>SQRT((INDEX(US_x,19)-INDEX(US_x,32))^2+(INDEX(US_y,19)-INDEX(US_y,32))^2)</f>
        <v>47.05729805248065</v>
      </c>
      <c r="AJ34" s="31">
        <f>SQRT((INDEX(US_x,19)-INDEX(US_x,33))^2+(INDEX(US_y,19)-INDEX(US_y,33))^2)</f>
        <v>20.26853719438084</v>
      </c>
      <c r="AK34" s="31">
        <f>SQRT((INDEX(US_x,19)-INDEX(US_x,34))^2+(INDEX(US_y,19)-INDEX(US_y,34))^2)</f>
        <v>47.10095646587232</v>
      </c>
      <c r="AL34" s="31">
        <f>SQRT((INDEX(US_x,19)-INDEX(US_x,35))^2+(INDEX(US_y,19)-INDEX(US_y,35))^2)</f>
        <v>81.06400557584111</v>
      </c>
      <c r="AM34" s="31">
        <f>SQRT((INDEX(US_x,19)-INDEX(US_x,36))^2+(INDEX(US_y,19)-INDEX(US_y,36))^2)</f>
        <v>10.608449462574626</v>
      </c>
      <c r="AN34" s="33">
        <f>SQRT((INDEX(US_x,19)-INDEX(US_x,37))^2+(INDEX(US_y,19)-INDEX(US_y,37))^2)</f>
        <v>1.3146862743635805</v>
      </c>
      <c r="AO34" s="31">
        <f>SQRT((INDEX(US_x,19)-INDEX(US_x,38))^2+(INDEX(US_y,19)-INDEX(US_y,38))^2)</f>
        <v>25.02207225631002</v>
      </c>
      <c r="AP34" s="31">
        <f>SQRT((INDEX(US_x,19)-INDEX(US_x,39))^2+(INDEX(US_y,19)-INDEX(US_y,39))^2)</f>
        <v>46.511009449376594</v>
      </c>
      <c r="AQ34" s="31">
        <f>SQRT((INDEX(US_x,19)-INDEX(US_x,40))^2+(INDEX(US_y,19)-INDEX(US_y,40))^2)</f>
        <v>29.719126837779058</v>
      </c>
      <c r="AR34" s="31">
        <f>SQRT((INDEX(US_x,19)-INDEX(US_x,41))^2+(INDEX(US_y,19)-INDEX(US_y,41))^2)</f>
        <v>53.432104581421825</v>
      </c>
      <c r="AS34" s="31">
        <f>SQRT((INDEX(US_x,19)-INDEX(US_x,42))^2+(INDEX(US_y,19)-INDEX(US_y,42))^2)</f>
        <v>66.161599134241</v>
      </c>
      <c r="AT34" s="31">
        <f>SQRT((INDEX(US_x,19)-INDEX(US_x,43))^2+(INDEX(US_y,19)-INDEX(US_y,43))^2)</f>
        <v>4.850566977168749</v>
      </c>
      <c r="AU34" s="31">
        <f>SQRT((INDEX(US_x,19)-INDEX(US_x,44))^2+(INDEX(US_y,19)-INDEX(US_y,44))^2)</f>
        <v>15.006615207967446</v>
      </c>
      <c r="AV34" s="31">
        <f>SQRT((INDEX(US_x,19)-INDEX(US_x,45))^2+(INDEX(US_y,19)-INDEX(US_y,45))^2)</f>
        <v>79.88710346482716</v>
      </c>
      <c r="AW34" s="31">
        <f>SQRT((INDEX(US_x,19)-INDEX(US_x,46))^2+(INDEX(US_y,19)-INDEX(US_y,46))^2)</f>
        <v>19.61765786224237</v>
      </c>
      <c r="AX34" s="31">
        <f>SQRT((INDEX(US_x,19)-INDEX(US_x,47))^2+(INDEX(US_y,19)-INDEX(US_y,47))^2)</f>
        <v>29.382705797798806</v>
      </c>
      <c r="AY34" s="31">
        <f>SQRT((INDEX(US_x,19)-INDEX(US_x,48))^2+(INDEX(US_y,19)-INDEX(US_y,48))^2)</f>
        <v>54.688794098974235</v>
      </c>
      <c r="AZ34" s="31" t="s">
        <v>30</v>
      </c>
      <c r="BA34" s="34">
        <v>77.32</v>
      </c>
      <c r="BB34" s="34">
        <v>47.23</v>
      </c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</row>
    <row r="35" spans="3:113" ht="15" thickBot="1" thickTop="1">
      <c r="C35" s="26">
        <v>20</v>
      </c>
      <c r="D35" s="31">
        <f>SQRT((INDEX(US_x,20)-INDEX(US_x,1))^2+(INDEX(US_y,20)-INDEX(US_y,1))^2)</f>
        <v>22.669847815986767</v>
      </c>
      <c r="E35" s="31">
        <f>SQRT((INDEX(US_x,20)-INDEX(US_x,2))^2+(INDEX(US_y,20)-INDEX(US_y,2))^2)</f>
        <v>51.04555808295174</v>
      </c>
      <c r="F35" s="31">
        <f>SQRT((INDEX(US_x,20)-INDEX(US_x,3))^2+(INDEX(US_y,20)-INDEX(US_y,3))^2)</f>
        <v>21.68794365540449</v>
      </c>
      <c r="G35" s="31">
        <f>SQRT((INDEX(US_x,20)-INDEX(US_x,4))^2+(INDEX(US_y,20)-INDEX(US_y,4))^2)</f>
        <v>61.3493284396822</v>
      </c>
      <c r="H35" s="31">
        <f>SQRT((INDEX(US_x,20)-INDEX(US_x,5))^2+(INDEX(US_y,20)-INDEX(US_y,5))^2)</f>
        <v>34.08227251812883</v>
      </c>
      <c r="I35" s="31">
        <f>SQRT((INDEX(US_x,20)-INDEX(US_x,6))^2+(INDEX(US_y,20)-INDEX(US_y,6))^2)</f>
        <v>19.29215643726745</v>
      </c>
      <c r="J35" s="31">
        <f>SQRT((INDEX(US_x,20)-INDEX(US_x,7))^2+(INDEX(US_y,20)-INDEX(US_y,7))^2)</f>
        <v>16.801648728621846</v>
      </c>
      <c r="K35" s="31">
        <f>SQRT((INDEX(US_x,20)-INDEX(US_x,8))^2+(INDEX(US_y,20)-INDEX(US_y,8))^2)</f>
        <v>26.685340544950893</v>
      </c>
      <c r="L35" s="31">
        <f>SQRT((INDEX(US_x,20)-INDEX(US_x,9))^2+(INDEX(US_y,20)-INDEX(US_y,9))^2)</f>
        <v>19.50635793786221</v>
      </c>
      <c r="M35" s="31">
        <f>SQRT((INDEX(US_x,20)-INDEX(US_x,10))^2+(INDEX(US_y,20)-INDEX(US_y,10))^2)</f>
        <v>50.21064428983161</v>
      </c>
      <c r="N35" s="31">
        <f>SQRT((INDEX(US_x,20)-INDEX(US_x,11))^2+(INDEX(US_y,20)-INDEX(US_y,11))^2)</f>
        <v>10.48164586312665</v>
      </c>
      <c r="O35" s="31">
        <f>SQRT((INDEX(US_x,20)-INDEX(US_x,12))^2+(INDEX(US_y,20)-INDEX(US_y,12))^2)</f>
        <v>6.937326574408904</v>
      </c>
      <c r="P35" s="31">
        <f>SQRT((INDEX(US_x,20)-INDEX(US_x,13))^2+(INDEX(US_y,20)-INDEX(US_y,13))^2)</f>
        <v>14.87415543820892</v>
      </c>
      <c r="Q35" s="31">
        <f>SQRT((INDEX(US_x,20)-INDEX(US_x,14))^2+(INDEX(US_y,20)-INDEX(US_y,14))^2)</f>
        <v>19.969026015306806</v>
      </c>
      <c r="R35" s="31">
        <f>SQRT((INDEX(US_x,20)-INDEX(US_x,15))^2+(INDEX(US_y,20)-INDEX(US_y,15))^2)</f>
        <v>9.852375348107683</v>
      </c>
      <c r="S35" s="31">
        <f>SQRT((INDEX(US_x,20)-INDEX(US_x,16))^2+(INDEX(US_y,20)-INDEX(US_y,16))^2)</f>
        <v>28.993987307716058</v>
      </c>
      <c r="T35" s="31">
        <f>SQRT((INDEX(US_x,20)-INDEX(US_x,17))^2+(INDEX(US_y,20)-INDEX(US_y,17))^2)</f>
        <v>23.58315076489993</v>
      </c>
      <c r="U35" s="31">
        <f>SQRT((INDEX(US_x,20)-INDEX(US_x,18))^2+(INDEX(US_y,20)-INDEX(US_y,18))^2)</f>
        <v>15.622691829515173</v>
      </c>
      <c r="V35" s="31">
        <f>SQRT((INDEX(US_x,20)-INDEX(US_x,19))^2+(INDEX(US_y,20)-INDEX(US_y,19))^2)</f>
        <v>21.6943955896448</v>
      </c>
      <c r="W35" s="31" t="s">
        <v>30</v>
      </c>
      <c r="X35" s="31">
        <f>SQRT((INDEX(US_x,20)-INDEX(US_x,21))^2+(INDEX(US_y,20)-INDEX(US_y,21))^2)</f>
        <v>14.299486004748564</v>
      </c>
      <c r="Y35" s="31">
        <f>SQRT((INDEX(US_x,20)-INDEX(US_x,22))^2+(INDEX(US_y,20)-INDEX(US_y,22))^2)</f>
        <v>24.592279276228137</v>
      </c>
      <c r="Z35" s="31">
        <f>SQRT((INDEX(US_x,20)-INDEX(US_x,23))^2+(INDEX(US_y,20)-INDEX(US_y,23))^2)</f>
        <v>15.469460236220266</v>
      </c>
      <c r="AA35" s="31">
        <f>SQRT((INDEX(US_x,20)-INDEX(US_x,24))^2+(INDEX(US_y,20)-INDEX(US_y,24))^2)</f>
        <v>43.327581284904426</v>
      </c>
      <c r="AB35" s="31">
        <f>SQRT((INDEX(US_x,20)-INDEX(US_x,25))^2+(INDEX(US_y,20)-INDEX(US_y,25))^2)</f>
        <v>20.18110502425474</v>
      </c>
      <c r="AC35" s="31">
        <f>SQRT((INDEX(US_x,20)-INDEX(US_x,26))^2+(INDEX(US_y,20)-INDEX(US_y,26))^2)</f>
        <v>58.162401944899074</v>
      </c>
      <c r="AD35" s="31">
        <f>SQRT((INDEX(US_x,20)-INDEX(US_x,27))^2+(INDEX(US_y,20)-INDEX(US_y,27))^2)</f>
        <v>20.788431879292865</v>
      </c>
      <c r="AE35" s="31">
        <f>SQRT((INDEX(US_x,20)-INDEX(US_x,28))^2+(INDEX(US_y,20)-INDEX(US_y,28))^2)</f>
        <v>16.93895215177137</v>
      </c>
      <c r="AF35" s="31">
        <f>SQRT((INDEX(US_x,20)-INDEX(US_x,29))^2+(INDEX(US_y,20)-INDEX(US_y,29))^2)</f>
        <v>39.0931630851227</v>
      </c>
      <c r="AG35" s="31">
        <f>SQRT((INDEX(US_x,20)-INDEX(US_x,30))^2+(INDEX(US_y,20)-INDEX(US_y,30))^2)</f>
        <v>17.324344143430075</v>
      </c>
      <c r="AH35" s="31">
        <f>SQRT((INDEX(US_x,20)-INDEX(US_x,31))^2+(INDEX(US_y,20)-INDEX(US_y,31))^2)</f>
        <v>18.120775369724115</v>
      </c>
      <c r="AI35" s="31">
        <f>SQRT((INDEX(US_x,20)-INDEX(US_x,32))^2+(INDEX(US_y,20)-INDEX(US_y,32))^2)</f>
        <v>26.67313442398549</v>
      </c>
      <c r="AJ35" s="33">
        <f>SQRT((INDEX(US_x,20)-INDEX(US_x,33))^2+(INDEX(US_y,20)-INDEX(US_y,33))^2)</f>
        <v>6.536206851071961</v>
      </c>
      <c r="AK35" s="31">
        <f>SQRT((INDEX(US_x,20)-INDEX(US_x,34))^2+(INDEX(US_y,20)-INDEX(US_y,34))^2)</f>
        <v>26.931455586358492</v>
      </c>
      <c r="AL35" s="31">
        <f>SQRT((INDEX(US_x,20)-INDEX(US_x,35))^2+(INDEX(US_y,20)-INDEX(US_y,35))^2)</f>
        <v>60.28943025108133</v>
      </c>
      <c r="AM35" s="31">
        <f>SQRT((INDEX(US_x,20)-INDEX(US_x,36))^2+(INDEX(US_y,20)-INDEX(US_y,36))^2)</f>
        <v>13.655138227055781</v>
      </c>
      <c r="AN35" s="31">
        <f>SQRT((INDEX(US_x,20)-INDEX(US_x,37))^2+(INDEX(US_y,20)-INDEX(US_y,37))^2)</f>
        <v>21.298356744124657</v>
      </c>
      <c r="AO35" s="31">
        <f>SQRT((INDEX(US_x,20)-INDEX(US_x,38))^2+(INDEX(US_y,20)-INDEX(US_y,38))^2)</f>
        <v>19.90113815840692</v>
      </c>
      <c r="AP35" s="31">
        <f>SQRT((INDEX(US_x,20)-INDEX(US_x,39))^2+(INDEX(US_y,20)-INDEX(US_y,39))^2)</f>
        <v>25.244563771235974</v>
      </c>
      <c r="AQ35" s="31">
        <f>SQRT((INDEX(US_x,20)-INDEX(US_x,40))^2+(INDEX(US_y,20)-INDEX(US_y,40))^2)</f>
        <v>14.734710719929318</v>
      </c>
      <c r="AR35" s="31">
        <f>SQRT((INDEX(US_x,20)-INDEX(US_x,41))^2+(INDEX(US_y,20)-INDEX(US_y,41))^2)</f>
        <v>35.412520384745285</v>
      </c>
      <c r="AS35" s="31">
        <f>SQRT((INDEX(US_x,20)-INDEX(US_x,42))^2+(INDEX(US_y,20)-INDEX(US_y,42))^2)</f>
        <v>44.54247411179581</v>
      </c>
      <c r="AT35" s="31">
        <f>SQRT((INDEX(US_x,20)-INDEX(US_x,43))^2+(INDEX(US_y,20)-INDEX(US_y,43))^2)</f>
        <v>19.221456760610003</v>
      </c>
      <c r="AU35" s="31">
        <f>SQRT((INDEX(US_x,20)-INDEX(US_x,44))^2+(INDEX(US_y,20)-INDEX(US_y,44))^2)</f>
        <v>16.40903714420807</v>
      </c>
      <c r="AV35" s="31">
        <f>SQRT((INDEX(US_x,20)-INDEX(US_x,45))^2+(INDEX(US_y,20)-INDEX(US_y,45))^2)</f>
        <v>59.56116603962686</v>
      </c>
      <c r="AW35" s="31">
        <f>SQRT((INDEX(US_x,20)-INDEX(US_x,46))^2+(INDEX(US_y,20)-INDEX(US_y,46))^2)</f>
        <v>10.701742848713936</v>
      </c>
      <c r="AX35" s="31">
        <f>SQRT((INDEX(US_x,20)-INDEX(US_x,47))^2+(INDEX(US_y,20)-INDEX(US_y,47))^2)</f>
        <v>7.765526382673617</v>
      </c>
      <c r="AY35" s="31">
        <f>SQRT((INDEX(US_x,20)-INDEX(US_x,48))^2+(INDEX(US_y,20)-INDEX(US_y,48))^2)</f>
        <v>33.01255821653329</v>
      </c>
      <c r="AZ35" s="31" t="s">
        <v>30</v>
      </c>
      <c r="BA35" s="34">
        <v>59</v>
      </c>
      <c r="BB35" s="34">
        <v>35.61</v>
      </c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</row>
    <row r="36" spans="3:54" ht="15" thickBot="1" thickTop="1">
      <c r="C36" s="26">
        <v>21</v>
      </c>
      <c r="D36" s="31">
        <f>SQRT((INDEX(US_x,21)-INDEX(US_x,1))^2+(INDEX(US_y,21)-INDEX(US_y,1))^2)</f>
        <v>29.560204667762367</v>
      </c>
      <c r="E36" s="31">
        <f>SQRT((INDEX(US_x,21)-INDEX(US_x,2))^2+(INDEX(US_y,21)-INDEX(US_y,2))^2)</f>
        <v>40.42942121772212</v>
      </c>
      <c r="F36" s="31">
        <f>SQRT((INDEX(US_x,21)-INDEX(US_x,3))^2+(INDEX(US_y,21)-INDEX(US_y,3))^2)</f>
        <v>22.08898820679661</v>
      </c>
      <c r="G36" s="31">
        <f>SQRT((INDEX(US_x,21)-INDEX(US_x,4))^2+(INDEX(US_y,21)-INDEX(US_y,4))^2)</f>
        <v>48.01406877155903</v>
      </c>
      <c r="H36" s="31">
        <f>SQRT((INDEX(US_x,21)-INDEX(US_x,5))^2+(INDEX(US_y,21)-INDEX(US_y,5))^2)</f>
        <v>22.222569608395872</v>
      </c>
      <c r="I36" s="31">
        <f>SQRT((INDEX(US_x,21)-INDEX(US_x,6))^2+(INDEX(US_y,21)-INDEX(US_y,6))^2)</f>
        <v>33.09312013092752</v>
      </c>
      <c r="J36" s="31">
        <f>SQRT((INDEX(US_x,21)-INDEX(US_x,7))^2+(INDEX(US_y,21)-INDEX(US_y,7))^2)</f>
        <v>31.09422615213314</v>
      </c>
      <c r="K36" s="31">
        <f>SQRT((INDEX(US_x,21)-INDEX(US_x,8))^2+(INDEX(US_y,21)-INDEX(US_y,8))^2)</f>
        <v>34.862192988967294</v>
      </c>
      <c r="L36" s="31">
        <f>SQRT((INDEX(US_x,21)-INDEX(US_x,9))^2+(INDEX(US_y,21)-INDEX(US_y,9))^2)</f>
        <v>28.345160080691027</v>
      </c>
      <c r="M36" s="31">
        <f>SQRT((INDEX(US_x,21)-INDEX(US_x,10))^2+(INDEX(US_y,21)-INDEX(US_y,10))^2)</f>
        <v>36.20226650363206</v>
      </c>
      <c r="N36" s="31">
        <f>SQRT((INDEX(US_x,21)-INDEX(US_x,11))^2+(INDEX(US_y,21)-INDEX(US_y,11))^2)</f>
        <v>12.459510423768664</v>
      </c>
      <c r="O36" s="31">
        <f>SQRT((INDEX(US_x,21)-INDEX(US_x,12))^2+(INDEX(US_y,21)-INDEX(US_y,12))^2)</f>
        <v>15.855762359470454</v>
      </c>
      <c r="P36" s="31">
        <f>SQRT((INDEX(US_x,21)-INDEX(US_x,13))^2+(INDEX(US_y,21)-INDEX(US_y,13))^2)</f>
        <v>7.298999931497465</v>
      </c>
      <c r="Q36" s="31">
        <f>SQRT((INDEX(US_x,21)-INDEX(US_x,14))^2+(INDEX(US_y,21)-INDEX(US_y,14))^2)</f>
        <v>13.402227426812301</v>
      </c>
      <c r="R36" s="31">
        <f>SQRT((INDEX(US_x,21)-INDEX(US_x,15))^2+(INDEX(US_y,21)-INDEX(US_y,15))^2)</f>
        <v>19.86225566243673</v>
      </c>
      <c r="S36" s="31">
        <f>SQRT((INDEX(US_x,21)-INDEX(US_x,16))^2+(INDEX(US_y,21)-INDEX(US_y,16))^2)</f>
        <v>31.50773873193695</v>
      </c>
      <c r="T36" s="31">
        <f>SQRT((INDEX(US_x,21)-INDEX(US_x,17))^2+(INDEX(US_y,21)-INDEX(US_y,17))^2)</f>
        <v>36.16435952702606</v>
      </c>
      <c r="U36" s="31">
        <f>SQRT((INDEX(US_x,21)-INDEX(US_x,18))^2+(INDEX(US_y,21)-INDEX(US_y,18))^2)</f>
        <v>29.87186301521886</v>
      </c>
      <c r="V36" s="31">
        <f>SQRT((INDEX(US_x,21)-INDEX(US_x,19))^2+(INDEX(US_y,21)-INDEX(US_y,19))^2)</f>
        <v>35.19846161411035</v>
      </c>
      <c r="W36" s="31">
        <f>SQRT((INDEX(US_x,21)-INDEX(US_x,20))^2+(INDEX(US_y,21)-INDEX(US_y,20))^2)</f>
        <v>14.299486004748564</v>
      </c>
      <c r="X36" s="31" t="s">
        <v>30</v>
      </c>
      <c r="Y36" s="31">
        <f>SQRT((INDEX(US_x,21)-INDEX(US_x,22))^2+(INDEX(US_y,21)-INDEX(US_y,22))^2)</f>
        <v>27.786696457117745</v>
      </c>
      <c r="Z36" s="31">
        <f>SQRT((INDEX(US_x,21)-INDEX(US_x,23))^2+(INDEX(US_y,21)-INDEX(US_y,23))^2)</f>
        <v>13.862268934052606</v>
      </c>
      <c r="AA36" s="31">
        <f>SQRT((INDEX(US_x,21)-INDEX(US_x,24))^2+(INDEX(US_y,21)-INDEX(US_y,24))^2)</f>
        <v>29.044965140278617</v>
      </c>
      <c r="AB36" s="31">
        <f>SQRT((INDEX(US_x,21)-INDEX(US_x,25))^2+(INDEX(US_y,21)-INDEX(US_y,25))^2)</f>
        <v>10.616896910114555</v>
      </c>
      <c r="AC36" s="31">
        <f>SQRT((INDEX(US_x,21)-INDEX(US_x,26))^2+(INDEX(US_y,21)-INDEX(US_y,26))^2)</f>
        <v>44.81588222940612</v>
      </c>
      <c r="AD36" s="31">
        <f>SQRT((INDEX(US_x,21)-INDEX(US_x,27))^2+(INDEX(US_y,21)-INDEX(US_y,27))^2)</f>
        <v>33.970110391342565</v>
      </c>
      <c r="AE36" s="31">
        <f>SQRT((INDEX(US_x,21)-INDEX(US_x,28))^2+(INDEX(US_y,21)-INDEX(US_y,28))^2)</f>
        <v>31.18638805632996</v>
      </c>
      <c r="AF36" s="31">
        <f>SQRT((INDEX(US_x,21)-INDEX(US_x,29))^2+(INDEX(US_y,21)-INDEX(US_y,29))^2)</f>
        <v>29.211992400382414</v>
      </c>
      <c r="AG36" s="31">
        <f>SQRT((INDEX(US_x,21)-INDEX(US_x,30))^2+(INDEX(US_y,21)-INDEX(US_y,30))^2)</f>
        <v>30.860865185538785</v>
      </c>
      <c r="AH36" s="31">
        <f>SQRT((INDEX(US_x,21)-INDEX(US_x,31))^2+(INDEX(US_y,21)-INDEX(US_y,31))^2)</f>
        <v>31.14236342990044</v>
      </c>
      <c r="AI36" s="31">
        <f>SQRT((INDEX(US_x,21)-INDEX(US_x,32))^2+(INDEX(US_y,21)-INDEX(US_y,32))^2)</f>
        <v>12.396531773040389</v>
      </c>
      <c r="AJ36" s="31">
        <f>SQRT((INDEX(US_x,21)-INDEX(US_x,33))^2+(INDEX(US_y,21)-INDEX(US_y,33))^2)</f>
        <v>19.528607221202446</v>
      </c>
      <c r="AK36" s="31">
        <f>SQRT((INDEX(US_x,21)-INDEX(US_x,34))^2+(INDEX(US_y,21)-INDEX(US_y,34))^2)</f>
        <v>21.745955945876464</v>
      </c>
      <c r="AL36" s="31">
        <f>SQRT((INDEX(US_x,21)-INDEX(US_x,35))^2+(INDEX(US_y,21)-INDEX(US_y,35))^2)</f>
        <v>46.06626639961176</v>
      </c>
      <c r="AM36" s="31">
        <f>SQRT((INDEX(US_x,21)-INDEX(US_x,36))^2+(INDEX(US_y,21)-INDEX(US_y,36))^2)</f>
        <v>27.952325484653336</v>
      </c>
      <c r="AN36" s="31">
        <f>SQRT((INDEX(US_x,21)-INDEX(US_x,37))^2+(INDEX(US_y,21)-INDEX(US_y,37))^2)</f>
        <v>35.00702358099015</v>
      </c>
      <c r="AO36" s="31">
        <f>SQRT((INDEX(US_x,21)-INDEX(US_x,38))^2+(INDEX(US_y,21)-INDEX(US_y,38))^2)</f>
        <v>31.189591212454197</v>
      </c>
      <c r="AP36" s="31">
        <f>SQRT((INDEX(US_x,21)-INDEX(US_x,39))^2+(INDEX(US_y,21)-INDEX(US_y,39))^2)</f>
        <v>11.356060056199064</v>
      </c>
      <c r="AQ36" s="31">
        <f>SQRT((INDEX(US_x,21)-INDEX(US_x,40))^2+(INDEX(US_y,21)-INDEX(US_y,40))^2)</f>
        <v>21.72487054046583</v>
      </c>
      <c r="AR36" s="31">
        <f>SQRT((INDEX(US_x,21)-INDEX(US_x,41))^2+(INDEX(US_y,21)-INDEX(US_y,41))^2)</f>
        <v>32.67789007876733</v>
      </c>
      <c r="AS36" s="31">
        <f>SQRT((INDEX(US_x,21)-INDEX(US_x,42))^2+(INDEX(US_y,21)-INDEX(US_y,42))^2)</f>
        <v>31.352015884150095</v>
      </c>
      <c r="AT36" s="31">
        <f>SQRT((INDEX(US_x,21)-INDEX(US_x,43))^2+(INDEX(US_y,21)-INDEX(US_y,43))^2)</f>
        <v>31.88119978921747</v>
      </c>
      <c r="AU36" s="31">
        <f>SQRT((INDEX(US_x,21)-INDEX(US_x,44))^2+(INDEX(US_y,21)-INDEX(US_y,44))^2)</f>
        <v>30.287911780114527</v>
      </c>
      <c r="AV36" s="31">
        <f>SQRT((INDEX(US_x,21)-INDEX(US_x,45))^2+(INDEX(US_y,21)-INDEX(US_y,45))^2)</f>
        <v>45.26364766564886</v>
      </c>
      <c r="AW36" s="31">
        <f>SQRT((INDEX(US_x,21)-INDEX(US_x,46))^2+(INDEX(US_y,21)-INDEX(US_y,46))^2)</f>
        <v>23.542200406928824</v>
      </c>
      <c r="AX36" s="33">
        <f>SQRT((INDEX(US_x,21)-INDEX(US_x,47))^2+(INDEX(US_y,21)-INDEX(US_y,47))^2)</f>
        <v>7.107214644289283</v>
      </c>
      <c r="AY36" s="31">
        <f>SQRT((INDEX(US_x,21)-INDEX(US_x,48))^2+(INDEX(US_y,21)-INDEX(US_y,48))^2)</f>
        <v>20.415506361587013</v>
      </c>
      <c r="AZ36" s="31" t="s">
        <v>30</v>
      </c>
      <c r="BA36" s="34">
        <v>44.83</v>
      </c>
      <c r="BB36" s="34">
        <v>33.69</v>
      </c>
    </row>
    <row r="37" spans="3:54" ht="15" thickBot="1" thickTop="1">
      <c r="C37" s="26">
        <v>22</v>
      </c>
      <c r="D37" s="31">
        <f>SQRT((INDEX(US_x,22)-INDEX(US_x,1))^2+(INDEX(US_y,22)-INDEX(US_y,1))^2)</f>
        <v>7.199569431570201</v>
      </c>
      <c r="E37" s="31">
        <f>SQRT((INDEX(US_x,22)-INDEX(US_x,2))^2+(INDEX(US_y,22)-INDEX(US_y,2))^2)</f>
        <v>40.21370910522928</v>
      </c>
      <c r="F37" s="31">
        <f>SQRT((INDEX(US_x,22)-INDEX(US_x,3))^2+(INDEX(US_y,22)-INDEX(US_y,3))^2)</f>
        <v>6.516417727555533</v>
      </c>
      <c r="G37" s="31">
        <f>SQRT((INDEX(US_x,22)-INDEX(US_x,4))^2+(INDEX(US_y,22)-INDEX(US_y,4))^2)</f>
        <v>57.063439258425355</v>
      </c>
      <c r="H37" s="31">
        <f>SQRT((INDEX(US_x,22)-INDEX(US_x,5))^2+(INDEX(US_y,22)-INDEX(US_y,5))^2)</f>
        <v>30.658631737244896</v>
      </c>
      <c r="I37" s="31">
        <f>SQRT((INDEX(US_x,22)-INDEX(US_x,6))^2+(INDEX(US_y,22)-INDEX(US_y,6))^2)</f>
        <v>36.71532786180725</v>
      </c>
      <c r="J37" s="31">
        <f>SQRT((INDEX(US_x,22)-INDEX(US_x,7))^2+(INDEX(US_y,22)-INDEX(US_y,7))^2)</f>
        <v>29.929951553585916</v>
      </c>
      <c r="K37" s="31">
        <f>SQRT((INDEX(US_x,22)-INDEX(US_x,8))^2+(INDEX(US_y,22)-INDEX(US_y,8))^2)</f>
        <v>11.746744229785552</v>
      </c>
      <c r="L37" s="31">
        <f>SQRT((INDEX(US_x,22)-INDEX(US_x,9))^2+(INDEX(US_y,22)-INDEX(US_y,9))^2)</f>
        <v>11.11680709556481</v>
      </c>
      <c r="M37" s="31">
        <f>SQRT((INDEX(US_x,22)-INDEX(US_x,10))^2+(INDEX(US_y,22)-INDEX(US_y,10))^2)</f>
        <v>50.76597482566448</v>
      </c>
      <c r="N37" s="31">
        <f>SQRT((INDEX(US_x,22)-INDEX(US_x,11))^2+(INDEX(US_y,22)-INDEX(US_y,11))^2)</f>
        <v>16.24409123343008</v>
      </c>
      <c r="O37" s="31">
        <f>SQRT((INDEX(US_x,22)-INDEX(US_x,12))^2+(INDEX(US_y,22)-INDEX(US_y,12))^2)</f>
        <v>17.66553990117483</v>
      </c>
      <c r="P37" s="31">
        <f>SQRT((INDEX(US_x,22)-INDEX(US_x,13))^2+(INDEX(US_y,22)-INDEX(US_y,13))^2)</f>
        <v>20.957387718892825</v>
      </c>
      <c r="Q37" s="31">
        <f>SQRT((INDEX(US_x,22)-INDEX(US_x,14))^2+(INDEX(US_y,22)-INDEX(US_y,14))^2)</f>
        <v>17.529249841336625</v>
      </c>
      <c r="R37" s="31">
        <f>SQRT((INDEX(US_x,22)-INDEX(US_x,15))^2+(INDEX(US_y,22)-INDEX(US_y,15))^2)</f>
        <v>15.921196563072764</v>
      </c>
      <c r="S37" s="33">
        <f>SQRT((INDEX(US_x,22)-INDEX(US_x,16))^2+(INDEX(US_y,22)-INDEX(US_y,16))^2)</f>
        <v>4.410408144378476</v>
      </c>
      <c r="T37" s="31">
        <f>SQRT((INDEX(US_x,22)-INDEX(US_x,17))^2+(INDEX(US_y,22)-INDEX(US_y,17))^2)</f>
        <v>43.448332534172124</v>
      </c>
      <c r="U37" s="31">
        <f>SQRT((INDEX(US_x,22)-INDEX(US_x,18))^2+(INDEX(US_y,22)-INDEX(US_y,18))^2)</f>
        <v>28.289080932402168</v>
      </c>
      <c r="V37" s="31">
        <f>SQRT((INDEX(US_x,22)-INDEX(US_x,19))^2+(INDEX(US_y,22)-INDEX(US_y,19))^2)</f>
        <v>39.64079968920909</v>
      </c>
      <c r="W37" s="31">
        <f>SQRT((INDEX(US_x,22)-INDEX(US_x,20))^2+(INDEX(US_y,22)-INDEX(US_y,20))^2)</f>
        <v>24.592279276228137</v>
      </c>
      <c r="X37" s="31">
        <f>SQRT((INDEX(US_x,22)-INDEX(US_x,21))^2+(INDEX(US_y,22)-INDEX(US_y,21))^2)</f>
        <v>27.786696457117745</v>
      </c>
      <c r="Y37" s="31" t="s">
        <v>30</v>
      </c>
      <c r="Z37" s="31">
        <f>SQRT((INDEX(US_x,22)-INDEX(US_x,23))^2+(INDEX(US_y,22)-INDEX(US_y,23))^2)</f>
        <v>14.009953604491342</v>
      </c>
      <c r="AA37" s="31">
        <f>SQRT((INDEX(US_x,22)-INDEX(US_x,24))^2+(INDEX(US_y,22)-INDEX(US_y,24))^2)</f>
        <v>47.80128136357853</v>
      </c>
      <c r="AB37" s="31">
        <f>SQRT((INDEX(US_x,22)-INDEX(US_x,25))^2+(INDEX(US_y,22)-INDEX(US_y,25))^2)</f>
        <v>21.65035796470811</v>
      </c>
      <c r="AC37" s="31">
        <f>SQRT((INDEX(US_x,22)-INDEX(US_x,26))^2+(INDEX(US_y,22)-INDEX(US_y,26))^2)</f>
        <v>54.26996591117411</v>
      </c>
      <c r="AD37" s="31">
        <f>SQRT((INDEX(US_x,22)-INDEX(US_x,27))^2+(INDEX(US_y,22)-INDEX(US_y,27))^2)</f>
        <v>39.838168883622146</v>
      </c>
      <c r="AE37" s="31">
        <f>SQRT((INDEX(US_x,22)-INDEX(US_x,28))^2+(INDEX(US_y,22)-INDEX(US_y,28))^2)</f>
        <v>32.118905647608855</v>
      </c>
      <c r="AF37" s="31">
        <f>SQRT((INDEX(US_x,22)-INDEX(US_x,29))^2+(INDEX(US_y,22)-INDEX(US_y,29))^2)</f>
        <v>29.453509128794824</v>
      </c>
      <c r="AG37" s="31">
        <f>SQRT((INDEX(US_x,22)-INDEX(US_x,30))^2+(INDEX(US_y,22)-INDEX(US_y,30))^2)</f>
        <v>36.190906316366274</v>
      </c>
      <c r="AH37" s="31">
        <f>SQRT((INDEX(US_x,22)-INDEX(US_x,31))^2+(INDEX(US_y,22)-INDEX(US_y,31))^2)</f>
        <v>22.236494777729703</v>
      </c>
      <c r="AI37" s="31">
        <f>SQRT((INDEX(US_x,22)-INDEX(US_x,32))^2+(INDEX(US_y,22)-INDEX(US_y,32))^2)</f>
        <v>36.020495554614456</v>
      </c>
      <c r="AJ37" s="31">
        <f>SQRT((INDEX(US_x,22)-INDEX(US_x,33))^2+(INDEX(US_y,22)-INDEX(US_y,33))^2)</f>
        <v>20.88442960676686</v>
      </c>
      <c r="AK37" s="31">
        <f>SQRT((INDEX(US_x,22)-INDEX(US_x,34))^2+(INDEX(US_y,22)-INDEX(US_y,34))^2)</f>
        <v>14.955911874573212</v>
      </c>
      <c r="AL37" s="31">
        <f>SQRT((INDEX(US_x,22)-INDEX(US_x,35))^2+(INDEX(US_y,22)-INDEX(US_y,35))^2)</f>
        <v>61.77808672984297</v>
      </c>
      <c r="AM37" s="31">
        <f>SQRT((INDEX(US_x,22)-INDEX(US_x,36))^2+(INDEX(US_y,22)-INDEX(US_y,36))^2)</f>
        <v>29.05024956863538</v>
      </c>
      <c r="AN37" s="31">
        <f>SQRT((INDEX(US_x,22)-INDEX(US_x,37))^2+(INDEX(US_y,22)-INDEX(US_y,37))^2)</f>
        <v>38.60588815193869</v>
      </c>
      <c r="AO37" s="31">
        <f>SQRT((INDEX(US_x,22)-INDEX(US_x,38))^2+(INDEX(US_y,22)-INDEX(US_y,38))^2)</f>
        <v>17.183238926349134</v>
      </c>
      <c r="AP37" s="31">
        <f>SQRT((INDEX(US_x,22)-INDEX(US_x,39))^2+(INDEX(US_y,22)-INDEX(US_y,39))^2)</f>
        <v>31.31078089093275</v>
      </c>
      <c r="AQ37" s="31">
        <f>SQRT((INDEX(US_x,22)-INDEX(US_x,40))^2+(INDEX(US_y,22)-INDEX(US_y,40))^2)</f>
        <v>10.390019249260323</v>
      </c>
      <c r="AR37" s="31">
        <f>SQRT((INDEX(US_x,22)-INDEX(US_x,41))^2+(INDEX(US_y,22)-INDEX(US_y,41))^2)</f>
        <v>14.78633152610883</v>
      </c>
      <c r="AS37" s="31">
        <f>SQRT((INDEX(US_x,22)-INDEX(US_x,42))^2+(INDEX(US_y,22)-INDEX(US_y,42))^2)</f>
        <v>42.100957233773194</v>
      </c>
      <c r="AT37" s="31">
        <f>SQRT((INDEX(US_x,22)-INDEX(US_x,43))^2+(INDEX(US_y,22)-INDEX(US_y,43))^2)</f>
        <v>39.681937956707706</v>
      </c>
      <c r="AU37" s="31">
        <f>SQRT((INDEX(US_x,22)-INDEX(US_x,44))^2+(INDEX(US_y,22)-INDEX(US_y,44))^2)</f>
        <v>25.52470372012181</v>
      </c>
      <c r="AV37" s="31">
        <f>SQRT((INDEX(US_x,22)-INDEX(US_x,45))^2+(INDEX(US_y,22)-INDEX(US_y,45))^2)</f>
        <v>62.89088725721716</v>
      </c>
      <c r="AW37" s="31">
        <f>SQRT((INDEX(US_x,22)-INDEX(US_x,46))^2+(INDEX(US_y,22)-INDEX(US_y,46))^2)</f>
        <v>20.110009945298383</v>
      </c>
      <c r="AX37" s="31">
        <f>SQRT((INDEX(US_x,22)-INDEX(US_x,47))^2+(INDEX(US_y,22)-INDEX(US_y,47))^2)</f>
        <v>23.351573822764063</v>
      </c>
      <c r="AY37" s="31">
        <f>SQRT((INDEX(US_x,22)-INDEX(US_x,48))^2+(INDEX(US_y,22)-INDEX(US_y,48))^2)</f>
        <v>31.884648343677867</v>
      </c>
      <c r="AZ37" s="31" t="s">
        <v>30</v>
      </c>
      <c r="BA37" s="34">
        <v>61.01</v>
      </c>
      <c r="BB37" s="34">
        <v>11.1</v>
      </c>
    </row>
    <row r="38" spans="3:54" ht="15" thickBot="1" thickTop="1">
      <c r="C38" s="26">
        <v>23</v>
      </c>
      <c r="D38" s="31">
        <f>SQRT((INDEX(US_x,23)-INDEX(US_x,1))^2+(INDEX(US_y,23)-INDEX(US_y,1))^2)</f>
        <v>16.993133907552192</v>
      </c>
      <c r="E38" s="31">
        <f>SQRT((INDEX(US_x,23)-INDEX(US_x,2))^2+(INDEX(US_y,23)-INDEX(US_y,2))^2)</f>
        <v>36.762399268818136</v>
      </c>
      <c r="F38" s="31">
        <f>SQRT((INDEX(US_x,23)-INDEX(US_x,3))^2+(INDEX(US_y,23)-INDEX(US_y,3))^2)</f>
        <v>8.271184921158513</v>
      </c>
      <c r="G38" s="31">
        <f>SQRT((INDEX(US_x,23)-INDEX(US_x,4))^2+(INDEX(US_y,23)-INDEX(US_y,4))^2)</f>
        <v>49.81875650796596</v>
      </c>
      <c r="H38" s="31">
        <f>SQRT((INDEX(US_x,23)-INDEX(US_x,5))^2+(INDEX(US_y,23)-INDEX(US_y,5))^2)</f>
        <v>21.84292333915037</v>
      </c>
      <c r="I38" s="31">
        <f>SQRT((INDEX(US_x,23)-INDEX(US_x,6))^2+(INDEX(US_y,23)-INDEX(US_y,6))^2)</f>
        <v>33.141299008940486</v>
      </c>
      <c r="J38" s="31">
        <f>SQRT((INDEX(US_x,23)-INDEX(US_x,7))^2+(INDEX(US_y,23)-INDEX(US_y,7))^2)</f>
        <v>28.264875729427857</v>
      </c>
      <c r="K38" s="31">
        <f>SQRT((INDEX(US_x,23)-INDEX(US_x,8))^2+(INDEX(US_y,23)-INDEX(US_y,8))^2)</f>
        <v>22.59148512161164</v>
      </c>
      <c r="L38" s="31">
        <f>SQRT((INDEX(US_x,23)-INDEX(US_x,9))^2+(INDEX(US_y,23)-INDEX(US_y,9))^2)</f>
        <v>17.247637519382184</v>
      </c>
      <c r="M38" s="31">
        <f>SQRT((INDEX(US_x,23)-INDEX(US_x,10))^2+(INDEX(US_y,23)-INDEX(US_y,10))^2)</f>
        <v>40.89163484137068</v>
      </c>
      <c r="N38" s="31">
        <f>SQRT((INDEX(US_x,23)-INDEX(US_x,11))^2+(INDEX(US_y,23)-INDEX(US_y,11))^2)</f>
        <v>5.021324526457136</v>
      </c>
      <c r="O38" s="31">
        <f>SQRT((INDEX(US_x,23)-INDEX(US_x,12))^2+(INDEX(US_y,23)-INDEX(US_y,12))^2)</f>
        <v>10.495622897189094</v>
      </c>
      <c r="P38" s="31">
        <f>SQRT((INDEX(US_x,23)-INDEX(US_x,13))^2+(INDEX(US_y,23)-INDEX(US_y,13))^2)</f>
        <v>6.96500538406109</v>
      </c>
      <c r="Q38" s="33">
        <f>SQRT((INDEX(US_x,23)-INDEX(US_x,14))^2+(INDEX(US_y,23)-INDEX(US_y,14))^2)</f>
        <v>6.051264330699829</v>
      </c>
      <c r="R38" s="31">
        <f>SQRT((INDEX(US_x,23)-INDEX(US_x,15))^2+(INDEX(US_y,23)-INDEX(US_y,15))^2)</f>
        <v>12.52559379829954</v>
      </c>
      <c r="S38" s="31">
        <f>SQRT((INDEX(US_x,23)-INDEX(US_x,16))^2+(INDEX(US_y,23)-INDEX(US_y,16))^2)</f>
        <v>17.645489508653476</v>
      </c>
      <c r="T38" s="31">
        <f>SQRT((INDEX(US_x,23)-INDEX(US_x,17))^2+(INDEX(US_y,23)-INDEX(US_y,17))^2)</f>
        <v>38.509411836588725</v>
      </c>
      <c r="U38" s="31">
        <f>SQRT((INDEX(US_x,23)-INDEX(US_x,18))^2+(INDEX(US_y,23)-INDEX(US_y,18))^2)</f>
        <v>26.65264152011954</v>
      </c>
      <c r="V38" s="31">
        <f>SQRT((INDEX(US_x,23)-INDEX(US_x,19))^2+(INDEX(US_y,23)-INDEX(US_y,19))^2)</f>
        <v>35.87864267220821</v>
      </c>
      <c r="W38" s="31">
        <f>SQRT((INDEX(US_x,23)-INDEX(US_x,20))^2+(INDEX(US_y,23)-INDEX(US_y,20))^2)</f>
        <v>15.469460236220266</v>
      </c>
      <c r="X38" s="31">
        <f>SQRT((INDEX(US_x,23)-INDEX(US_x,21))^2+(INDEX(US_y,23)-INDEX(US_y,21))^2)</f>
        <v>13.862268934052606</v>
      </c>
      <c r="Y38" s="31">
        <f>SQRT((INDEX(US_x,23)-INDEX(US_x,22))^2+(INDEX(US_y,23)-INDEX(US_y,22))^2)</f>
        <v>14.009953604491342</v>
      </c>
      <c r="Z38" s="31" t="s">
        <v>30</v>
      </c>
      <c r="AA38" s="31">
        <f>SQRT((INDEX(US_x,23)-INDEX(US_x,24))^2+(INDEX(US_y,23)-INDEX(US_y,24))^2)</f>
        <v>36.207022799451494</v>
      </c>
      <c r="AB38" s="31">
        <f>SQRT((INDEX(US_x,23)-INDEX(US_x,25))^2+(INDEX(US_y,23)-INDEX(US_y,25))^2)</f>
        <v>9.0291970850126</v>
      </c>
      <c r="AC38" s="31">
        <f>SQRT((INDEX(US_x,23)-INDEX(US_x,26))^2+(INDEX(US_y,23)-INDEX(US_y,26))^2)</f>
        <v>46.74350436156879</v>
      </c>
      <c r="AD38" s="31">
        <f>SQRT((INDEX(US_x,23)-INDEX(US_x,27))^2+(INDEX(US_y,23)-INDEX(US_y,27))^2)</f>
        <v>35.361709517499285</v>
      </c>
      <c r="AE38" s="31">
        <f>SQRT((INDEX(US_x,23)-INDEX(US_x,28))^2+(INDEX(US_y,23)-INDEX(US_y,28))^2)</f>
        <v>29.531957266662836</v>
      </c>
      <c r="AF38" s="31">
        <f>SQRT((INDEX(US_x,23)-INDEX(US_x,29))^2+(INDEX(US_y,23)-INDEX(US_y,29))^2)</f>
        <v>24.742594851793537</v>
      </c>
      <c r="AG38" s="31">
        <f>SQRT((INDEX(US_x,23)-INDEX(US_x,30))^2+(INDEX(US_y,23)-INDEX(US_y,30))^2)</f>
        <v>31.680254102516283</v>
      </c>
      <c r="AH38" s="31">
        <f>SQRT((INDEX(US_x,23)-INDEX(US_x,31))^2+(INDEX(US_y,23)-INDEX(US_y,31))^2)</f>
        <v>24.26288729726947</v>
      </c>
      <c r="AI38" s="31">
        <f>SQRT((INDEX(US_x,23)-INDEX(US_x,32))^2+(INDEX(US_y,23)-INDEX(US_y,32))^2)</f>
        <v>22.537180391521915</v>
      </c>
      <c r="AJ38" s="31">
        <f>SQRT((INDEX(US_x,23)-INDEX(US_x,33))^2+(INDEX(US_y,23)-INDEX(US_y,33))^2)</f>
        <v>15.77215901517608</v>
      </c>
      <c r="AK38" s="31">
        <f>SQRT((INDEX(US_x,23)-INDEX(US_x,34))^2+(INDEX(US_y,23)-INDEX(US_y,34))^2)</f>
        <v>11.47840145664892</v>
      </c>
      <c r="AL38" s="31">
        <f>SQRT((INDEX(US_x,23)-INDEX(US_x,35))^2+(INDEX(US_y,23)-INDEX(US_y,35))^2)</f>
        <v>51.76111668038085</v>
      </c>
      <c r="AM38" s="31">
        <f>SQRT((INDEX(US_x,23)-INDEX(US_x,36))^2+(INDEX(US_y,23)-INDEX(US_y,36))^2)</f>
        <v>25.97847185651997</v>
      </c>
      <c r="AN38" s="31">
        <f>SQRT((INDEX(US_x,23)-INDEX(US_x,37))^2+(INDEX(US_y,23)-INDEX(US_y,37))^2)</f>
        <v>35.20161644015798</v>
      </c>
      <c r="AO38" s="31">
        <f>SQRT((INDEX(US_x,23)-INDEX(US_x,38))^2+(INDEX(US_y,23)-INDEX(US_y,38))^2)</f>
        <v>21.93876249928423</v>
      </c>
      <c r="AP38" s="31">
        <f>SQRT((INDEX(US_x,23)-INDEX(US_x,39))^2+(INDEX(US_y,23)-INDEX(US_y,39))^2)</f>
        <v>18.329849972108335</v>
      </c>
      <c r="AQ38" s="31">
        <f>SQRT((INDEX(US_x,23)-INDEX(US_x,40))^2+(INDEX(US_y,23)-INDEX(US_y,40))^2)</f>
        <v>10.730298225119373</v>
      </c>
      <c r="AR38" s="31">
        <f>SQRT((INDEX(US_x,23)-INDEX(US_x,41))^2+(INDEX(US_y,23)-INDEX(US_y,41))^2)</f>
        <v>20.53182894921931</v>
      </c>
      <c r="AS38" s="31">
        <f>SQRT((INDEX(US_x,23)-INDEX(US_x,42))^2+(INDEX(US_y,23)-INDEX(US_y,42))^2)</f>
        <v>33.397392113756425</v>
      </c>
      <c r="AT38" s="31">
        <f>SQRT((INDEX(US_x,23)-INDEX(US_x,43))^2+(INDEX(US_y,23)-INDEX(US_y,43))^2)</f>
        <v>34.22374906406368</v>
      </c>
      <c r="AU38" s="31">
        <f>SQRT((INDEX(US_x,23)-INDEX(US_x,44))^2+(INDEX(US_y,23)-INDEX(US_y,44))^2)</f>
        <v>25.403442680077834</v>
      </c>
      <c r="AV38" s="31">
        <f>SQRT((INDEX(US_x,23)-INDEX(US_x,45))^2+(INDEX(US_y,23)-INDEX(US_y,45))^2)</f>
        <v>52.12461702497199</v>
      </c>
      <c r="AW38" s="31">
        <f>SQRT((INDEX(US_x,23)-INDEX(US_x,46))^2+(INDEX(US_y,23)-INDEX(US_y,46))^2)</f>
        <v>18.00940032316456</v>
      </c>
      <c r="AX38" s="31">
        <f>SQRT((INDEX(US_x,23)-INDEX(US_x,47))^2+(INDEX(US_y,23)-INDEX(US_y,47))^2)</f>
        <v>10.760910742125871</v>
      </c>
      <c r="AY38" s="31">
        <f>SQRT((INDEX(US_x,23)-INDEX(US_x,48))^2+(INDEX(US_y,23)-INDEX(US_y,48))^2)</f>
        <v>21.8919528594413</v>
      </c>
      <c r="AZ38" s="31" t="s">
        <v>30</v>
      </c>
      <c r="BA38" s="34">
        <v>51.99</v>
      </c>
      <c r="BB38" s="34">
        <v>21.82</v>
      </c>
    </row>
    <row r="39" spans="3:54" ht="15" thickBot="1" thickTop="1">
      <c r="C39" s="26">
        <v>24</v>
      </c>
      <c r="D39" s="31">
        <f>SQRT((INDEX(US_x,24)-INDEX(US_x,1))^2+(INDEX(US_y,24)-INDEX(US_y,1))^2)</f>
        <v>52.78156591083672</v>
      </c>
      <c r="E39" s="31">
        <f>SQRT((INDEX(US_x,24)-INDEX(US_x,2))^2+(INDEX(US_y,24)-INDEX(US_y,2))^2)</f>
        <v>28.6258641790951</v>
      </c>
      <c r="F39" s="31">
        <f>SQRT((INDEX(US_x,24)-INDEX(US_x,3))^2+(INDEX(US_y,24)-INDEX(US_y,3))^2)</f>
        <v>41.35799076357554</v>
      </c>
      <c r="G39" s="31">
        <f>SQRT((INDEX(US_x,24)-INDEX(US_x,4))^2+(INDEX(US_y,24)-INDEX(US_y,4))^2)</f>
        <v>23.218199757948504</v>
      </c>
      <c r="H39" s="31">
        <f>SQRT((INDEX(US_x,24)-INDEX(US_x,5))^2+(INDEX(US_y,24)-INDEX(US_y,5))^2)</f>
        <v>18.592541515349644</v>
      </c>
      <c r="I39" s="31">
        <f>SQRT((INDEX(US_x,24)-INDEX(US_x,6))^2+(INDEX(US_y,24)-INDEX(US_y,6))^2)</f>
        <v>61.983728509988815</v>
      </c>
      <c r="J39" s="31">
        <f>SQRT((INDEX(US_x,24)-INDEX(US_x,7))^2+(INDEX(US_y,24)-INDEX(US_y,7))^2)</f>
        <v>60.08847560056754</v>
      </c>
      <c r="K39" s="31">
        <f>SQRT((INDEX(US_x,24)-INDEX(US_x,8))^2+(INDEX(US_y,24)-INDEX(US_y,8))^2)</f>
        <v>58.39015756101366</v>
      </c>
      <c r="L39" s="31">
        <f>SQRT((INDEX(US_x,24)-INDEX(US_x,9))^2+(INDEX(US_y,24)-INDEX(US_y,9))^2)</f>
        <v>53.45465461491637</v>
      </c>
      <c r="M39" s="31">
        <f>SQRT((INDEX(US_x,24)-INDEX(US_x,10))^2+(INDEX(US_y,24)-INDEX(US_y,10))^2)</f>
        <v>9.214342081776648</v>
      </c>
      <c r="N39" s="31">
        <f>SQRT((INDEX(US_x,24)-INDEX(US_x,11))^2+(INDEX(US_y,24)-INDEX(US_y,11))^2)</f>
        <v>38.40368992688072</v>
      </c>
      <c r="O39" s="31">
        <f>SQRT((INDEX(US_x,24)-INDEX(US_x,12))^2+(INDEX(US_y,24)-INDEX(US_y,12))^2)</f>
        <v>43.56470130736581</v>
      </c>
      <c r="P39" s="31">
        <f>SQRT((INDEX(US_x,24)-INDEX(US_x,13))^2+(INDEX(US_y,24)-INDEX(US_y,13))^2)</f>
        <v>30.75963913962581</v>
      </c>
      <c r="Q39" s="31">
        <f>SQRT((INDEX(US_x,24)-INDEX(US_x,14))^2+(INDEX(US_y,24)-INDEX(US_y,14))^2)</f>
        <v>30.77907893358734</v>
      </c>
      <c r="R39" s="31">
        <f>SQRT((INDEX(US_x,24)-INDEX(US_x,15))^2+(INDEX(US_y,24)-INDEX(US_y,15))^2)</f>
        <v>47.156836195826365</v>
      </c>
      <c r="S39" s="31">
        <f>SQRT((INDEX(US_x,24)-INDEX(US_x,16))^2+(INDEX(US_y,24)-INDEX(US_y,16))^2)</f>
        <v>49.59463277412184</v>
      </c>
      <c r="T39" s="31">
        <f>SQRT((INDEX(US_x,24)-INDEX(US_x,17))^2+(INDEX(US_y,24)-INDEX(US_y,17))^2)</f>
        <v>64.3250410027075</v>
      </c>
      <c r="U39" s="31">
        <f>SQRT((INDEX(US_x,24)-INDEX(US_x,18))^2+(INDEX(US_y,24)-INDEX(US_y,18))^2)</f>
        <v>58.810885046902676</v>
      </c>
      <c r="V39" s="31">
        <f>SQRT((INDEX(US_x,24)-INDEX(US_x,19))^2+(INDEX(US_y,24)-INDEX(US_y,19))^2)</f>
        <v>63.92276355102304</v>
      </c>
      <c r="W39" s="31">
        <f>SQRT((INDEX(US_x,24)-INDEX(US_x,20))^2+(INDEX(US_y,24)-INDEX(US_y,20))^2)</f>
        <v>43.327581284904426</v>
      </c>
      <c r="X39" s="31">
        <f>SQRT((INDEX(US_x,24)-INDEX(US_x,21))^2+(INDEX(US_y,24)-INDEX(US_y,21))^2)</f>
        <v>29.044965140278617</v>
      </c>
      <c r="Y39" s="31">
        <f>SQRT((INDEX(US_x,24)-INDEX(US_x,22))^2+(INDEX(US_y,24)-INDEX(US_y,22))^2)</f>
        <v>47.80128136357853</v>
      </c>
      <c r="Z39" s="31">
        <f>SQRT((INDEX(US_x,24)-INDEX(US_x,23))^2+(INDEX(US_y,24)-INDEX(US_y,23))^2)</f>
        <v>36.207022799451494</v>
      </c>
      <c r="AA39" s="31" t="s">
        <v>30</v>
      </c>
      <c r="AB39" s="31">
        <f>SQRT((INDEX(US_x,24)-INDEX(US_x,25))^2+(INDEX(US_y,24)-INDEX(US_y,25))^2)</f>
        <v>27.179854672164826</v>
      </c>
      <c r="AC39" s="31">
        <f>SQRT((INDEX(US_x,24)-INDEX(US_x,26))^2+(INDEX(US_y,24)-INDEX(US_y,26))^2)</f>
        <v>20.417083533159186</v>
      </c>
      <c r="AD39" s="31">
        <f>SQRT((INDEX(US_x,24)-INDEX(US_x,27))^2+(INDEX(US_y,24)-INDEX(US_y,27))^2)</f>
        <v>62.538135565429194</v>
      </c>
      <c r="AE39" s="31">
        <f>SQRT((INDEX(US_x,24)-INDEX(US_x,28))^2+(INDEX(US_y,24)-INDEX(US_y,28))^2)</f>
        <v>60.23126098630179</v>
      </c>
      <c r="AF39" s="31">
        <f>SQRT((INDEX(US_x,24)-INDEX(US_x,29))^2+(INDEX(US_y,24)-INDEX(US_y,29))^2)</f>
        <v>25.68802250076872</v>
      </c>
      <c r="AG39" s="31">
        <f>SQRT((INDEX(US_x,24)-INDEX(US_x,30))^2+(INDEX(US_y,24)-INDEX(US_y,30))^2)</f>
        <v>59.65464776528313</v>
      </c>
      <c r="AH39" s="31">
        <f>SQRT((INDEX(US_x,24)-INDEX(US_x,31))^2+(INDEX(US_y,24)-INDEX(US_y,31))^2)</f>
        <v>59.12005412717414</v>
      </c>
      <c r="AI39" s="33">
        <f>SQRT((INDEX(US_x,24)-INDEX(US_x,32))^2+(INDEX(US_y,24)-INDEX(US_y,32))^2)</f>
        <v>16.865823430831952</v>
      </c>
      <c r="AJ39" s="31">
        <f>SQRT((INDEX(US_x,24)-INDEX(US_x,33))^2+(INDEX(US_y,24)-INDEX(US_y,33))^2)</f>
        <v>48.06801951401785</v>
      </c>
      <c r="AK39" s="31">
        <f>SQRT((INDEX(US_x,24)-INDEX(US_x,34))^2+(INDEX(US_y,24)-INDEX(US_y,34))^2)</f>
        <v>33.831857767494824</v>
      </c>
      <c r="AL39" s="31">
        <f>SQRT((INDEX(US_x,24)-INDEX(US_x,35))^2+(INDEX(US_y,24)-INDEX(US_y,35))^2)</f>
        <v>17.157357022571976</v>
      </c>
      <c r="AM39" s="31">
        <f>SQRT((INDEX(US_x,24)-INDEX(US_x,36))^2+(INDEX(US_y,24)-INDEX(US_y,36))^2)</f>
        <v>56.98168565425211</v>
      </c>
      <c r="AN39" s="31">
        <f>SQRT((INDEX(US_x,24)-INDEX(US_x,37))^2+(INDEX(US_y,24)-INDEX(US_y,37))^2)</f>
        <v>63.8392019060389</v>
      </c>
      <c r="AO39" s="31">
        <f>SQRT((INDEX(US_x,24)-INDEX(US_x,38))^2+(INDEX(US_y,24)-INDEX(US_y,38))^2)</f>
        <v>57.86648943905273</v>
      </c>
      <c r="AP39" s="31">
        <f>SQRT((INDEX(US_x,24)-INDEX(US_x,39))^2+(INDEX(US_y,24)-INDEX(US_y,39))^2)</f>
        <v>18.51108046549418</v>
      </c>
      <c r="AQ39" s="31">
        <f>SQRT((INDEX(US_x,24)-INDEX(US_x,40))^2+(INDEX(US_y,24)-INDEX(US_y,40))^2)</f>
        <v>46.86717401337529</v>
      </c>
      <c r="AR39" s="31">
        <f>SQRT((INDEX(US_x,24)-INDEX(US_x,41))^2+(INDEX(US_y,24)-INDEX(US_y,41))^2)</f>
        <v>42.8479462751717</v>
      </c>
      <c r="AS39" s="31">
        <f>SQRT((INDEX(US_x,24)-INDEX(US_x,42))^2+(INDEX(US_y,24)-INDEX(US_y,42))^2)</f>
        <v>12.718840355944407</v>
      </c>
      <c r="AT39" s="31">
        <f>SQRT((INDEX(US_x,24)-INDEX(US_x,43))^2+(INDEX(US_y,24)-INDEX(US_y,43))^2)</f>
        <v>60.21354415744019</v>
      </c>
      <c r="AU39" s="31">
        <f>SQRT((INDEX(US_x,24)-INDEX(US_x,44))^2+(INDEX(US_y,24)-INDEX(US_y,44))^2)</f>
        <v>58.917124844988834</v>
      </c>
      <c r="AV39" s="31">
        <f>SQRT((INDEX(US_x,24)-INDEX(US_x,45))^2+(INDEX(US_y,24)-INDEX(US_y,45))^2)</f>
        <v>16.284403581341255</v>
      </c>
      <c r="AW39" s="31">
        <f>SQRT((INDEX(US_x,24)-INDEX(US_x,46))^2+(INDEX(US_y,24)-INDEX(US_y,46))^2)</f>
        <v>51.772707095534415</v>
      </c>
      <c r="AX39" s="31">
        <f>SQRT((INDEX(US_x,24)-INDEX(US_x,47))^2+(INDEX(US_y,24)-INDEX(US_y,47))^2)</f>
        <v>35.80266051566559</v>
      </c>
      <c r="AY39" s="31">
        <f>SQRT((INDEX(US_x,24)-INDEX(US_x,48))^2+(INDEX(US_y,24)-INDEX(US_y,48))^2)</f>
        <v>16.382273956932842</v>
      </c>
      <c r="AZ39" s="31" t="s">
        <v>30</v>
      </c>
      <c r="BA39" s="34">
        <v>16.33</v>
      </c>
      <c r="BB39" s="34">
        <v>28.09</v>
      </c>
    </row>
    <row r="40" spans="3:54" ht="15" thickBot="1" thickTop="1">
      <c r="C40" s="26">
        <v>25</v>
      </c>
      <c r="D40" s="31">
        <f>SQRT((INDEX(US_x,25)-INDEX(US_x,1))^2+(INDEX(US_y,25)-INDEX(US_y,1))^2)</f>
        <v>25.778847918400082</v>
      </c>
      <c r="E40" s="31">
        <f>SQRT((INDEX(US_x,25)-INDEX(US_x,2))^2+(INDEX(US_y,25)-INDEX(US_y,2))^2)</f>
        <v>31.059330321177242</v>
      </c>
      <c r="F40" s="31">
        <f>SQRT((INDEX(US_x,25)-INDEX(US_x,3))^2+(INDEX(US_y,25)-INDEX(US_y,3))^2)</f>
        <v>15.17278155118566</v>
      </c>
      <c r="G40" s="31">
        <f>SQRT((INDEX(US_x,25)-INDEX(US_x,4))^2+(INDEX(US_y,25)-INDEX(US_y,4))^2)</f>
        <v>41.77343294487538</v>
      </c>
      <c r="H40" s="31">
        <f>SQRT((INDEX(US_x,25)-INDEX(US_x,5))^2+(INDEX(US_y,25)-INDEX(US_y,5))^2)</f>
        <v>14.001103527936646</v>
      </c>
      <c r="I40" s="31">
        <f>SQRT((INDEX(US_x,25)-INDEX(US_x,6))^2+(INDEX(US_y,25)-INDEX(US_y,6))^2)</f>
        <v>39.31805819213354</v>
      </c>
      <c r="J40" s="31">
        <f>SQRT((INDEX(US_x,25)-INDEX(US_x,7))^2+(INDEX(US_y,25)-INDEX(US_y,7))^2)</f>
        <v>35.51055054487328</v>
      </c>
      <c r="K40" s="31">
        <f>SQRT((INDEX(US_x,25)-INDEX(US_x,8))^2+(INDEX(US_y,25)-INDEX(US_y,8))^2)</f>
        <v>31.40171969813119</v>
      </c>
      <c r="L40" s="31">
        <f>SQRT((INDEX(US_x,25)-INDEX(US_x,9))^2+(INDEX(US_y,25)-INDEX(US_y,9))^2)</f>
        <v>26.27593956455221</v>
      </c>
      <c r="M40" s="31">
        <f>SQRT((INDEX(US_x,25)-INDEX(US_x,10))^2+(INDEX(US_y,25)-INDEX(US_y,10))^2)</f>
        <v>32.06642168998593</v>
      </c>
      <c r="N40" s="31">
        <f>SQRT((INDEX(US_x,25)-INDEX(US_x,11))^2+(INDEX(US_y,25)-INDEX(US_y,11))^2)</f>
        <v>11.952309400279093</v>
      </c>
      <c r="O40" s="31">
        <f>SQRT((INDEX(US_x,25)-INDEX(US_x,12))^2+(INDEX(US_y,25)-INDEX(US_y,12))^2)</f>
        <v>17.69950564281387</v>
      </c>
      <c r="P40" s="33">
        <f>SQRT((INDEX(US_x,25)-INDEX(US_x,13))^2+(INDEX(US_y,25)-INDEX(US_y,13))^2)</f>
        <v>5.320761223734816</v>
      </c>
      <c r="Q40" s="31">
        <f>SQRT((INDEX(US_x,25)-INDEX(US_x,14))^2+(INDEX(US_y,25)-INDEX(US_y,14))^2)</f>
        <v>4.188006685763523</v>
      </c>
      <c r="R40" s="31">
        <f>SQRT((INDEX(US_x,25)-INDEX(US_x,15))^2+(INDEX(US_y,25)-INDEX(US_y,15))^2)</f>
        <v>20.716951995889744</v>
      </c>
      <c r="S40" s="31">
        <f>SQRT((INDEX(US_x,25)-INDEX(US_x,16))^2+(INDEX(US_y,25)-INDEX(US_y,16))^2)</f>
        <v>24.438512638865728</v>
      </c>
      <c r="T40" s="31">
        <f>SQRT((INDEX(US_x,25)-INDEX(US_x,17))^2+(INDEX(US_y,25)-INDEX(US_y,17))^2)</f>
        <v>43.712080710027976</v>
      </c>
      <c r="U40" s="31">
        <f>SQRT((INDEX(US_x,25)-INDEX(US_x,18))^2+(INDEX(US_y,25)-INDEX(US_y,18))^2)</f>
        <v>34.002719008926334</v>
      </c>
      <c r="V40" s="31">
        <f>SQRT((INDEX(US_x,25)-INDEX(US_x,19))^2+(INDEX(US_y,25)-INDEX(US_y,19))^2)</f>
        <v>41.827533993770174</v>
      </c>
      <c r="W40" s="31">
        <f>SQRT((INDEX(US_x,25)-INDEX(US_x,20))^2+(INDEX(US_y,25)-INDEX(US_y,20))^2)</f>
        <v>20.18110502425474</v>
      </c>
      <c r="X40" s="31">
        <f>SQRT((INDEX(US_x,25)-INDEX(US_x,21))^2+(INDEX(US_y,25)-INDEX(US_y,21))^2)</f>
        <v>10.616896910114555</v>
      </c>
      <c r="Y40" s="31">
        <f>SQRT((INDEX(US_x,25)-INDEX(US_x,22))^2+(INDEX(US_y,25)-INDEX(US_y,22))^2)</f>
        <v>21.65035796470811</v>
      </c>
      <c r="Z40" s="31">
        <f>SQRT((INDEX(US_x,25)-INDEX(US_x,23))^2+(INDEX(US_y,25)-INDEX(US_y,23))^2)</f>
        <v>9.0291970850126</v>
      </c>
      <c r="AA40" s="31">
        <f>SQRT((INDEX(US_x,25)-INDEX(US_x,24))^2+(INDEX(US_y,25)-INDEX(US_y,24))^2)</f>
        <v>27.179854672164826</v>
      </c>
      <c r="AB40" s="31" t="s">
        <v>30</v>
      </c>
      <c r="AC40" s="31">
        <f>SQRT((INDEX(US_x,25)-INDEX(US_x,26))^2+(INDEX(US_y,25)-INDEX(US_y,26))^2)</f>
        <v>38.630661397392615</v>
      </c>
      <c r="AD40" s="31">
        <f>SQRT((INDEX(US_x,25)-INDEX(US_x,27))^2+(INDEX(US_y,25)-INDEX(US_y,27))^2)</f>
        <v>40.96890650237079</v>
      </c>
      <c r="AE40" s="31">
        <f>SQRT((INDEX(US_x,25)-INDEX(US_x,28))^2+(INDEX(US_y,25)-INDEX(US_y,28))^2)</f>
        <v>36.346990246786596</v>
      </c>
      <c r="AF40" s="31">
        <f>SQRT((INDEX(US_x,25)-INDEX(US_x,29))^2+(INDEX(US_y,25)-INDEX(US_y,29))^2)</f>
        <v>19.31128167678158</v>
      </c>
      <c r="AG40" s="31">
        <f>SQRT((INDEX(US_x,25)-INDEX(US_x,30))^2+(INDEX(US_y,25)-INDEX(US_y,30))^2)</f>
        <v>37.47249791513771</v>
      </c>
      <c r="AH40" s="31">
        <f>SQRT((INDEX(US_x,25)-INDEX(US_x,31))^2+(INDEX(US_y,25)-INDEX(US_y,31))^2)</f>
        <v>32.73237693782717</v>
      </c>
      <c r="AI40" s="31">
        <f>SQRT((INDEX(US_x,25)-INDEX(US_x,32))^2+(INDEX(US_y,25)-INDEX(US_y,32))^2)</f>
        <v>14.471119514398323</v>
      </c>
      <c r="AJ40" s="31">
        <f>SQRT((INDEX(US_x,25)-INDEX(US_x,33))^2+(INDEX(US_y,25)-INDEX(US_y,33))^2)</f>
        <v>22.834977556371722</v>
      </c>
      <c r="AK40" s="31">
        <f>SQRT((INDEX(US_x,25)-INDEX(US_x,34))^2+(INDEX(US_y,25)-INDEX(US_y,34))^2)</f>
        <v>11.636051735876734</v>
      </c>
      <c r="AL40" s="31">
        <f>SQRT((INDEX(US_x,25)-INDEX(US_x,35))^2+(INDEX(US_y,25)-INDEX(US_y,35))^2)</f>
        <v>42.853111905671454</v>
      </c>
      <c r="AM40" s="31">
        <f>SQRT((INDEX(US_x,25)-INDEX(US_x,36))^2+(INDEX(US_y,25)-INDEX(US_y,36))^2)</f>
        <v>32.821227886841776</v>
      </c>
      <c r="AN40" s="31">
        <f>SQRT((INDEX(US_x,25)-INDEX(US_x,37))^2+(INDEX(US_y,25)-INDEX(US_y,37))^2)</f>
        <v>41.35644327066824</v>
      </c>
      <c r="AO40" s="31">
        <f>SQRT((INDEX(US_x,25)-INDEX(US_x,38))^2+(INDEX(US_y,25)-INDEX(US_y,38))^2)</f>
        <v>30.859859040507622</v>
      </c>
      <c r="AP40" s="31">
        <f>SQRT((INDEX(US_x,25)-INDEX(US_x,39))^2+(INDEX(US_y,25)-INDEX(US_y,39))^2)</f>
        <v>9.666322982396148</v>
      </c>
      <c r="AQ40" s="31">
        <f>SQRT((INDEX(US_x,25)-INDEX(US_x,40))^2+(INDEX(US_y,25)-INDEX(US_y,40))^2)</f>
        <v>19.72882409065477</v>
      </c>
      <c r="AR40" s="31">
        <f>SQRT((INDEX(US_x,25)-INDEX(US_x,41))^2+(INDEX(US_y,25)-INDEX(US_y,41))^2)</f>
        <v>22.849087509132616</v>
      </c>
      <c r="AS40" s="31">
        <f>SQRT((INDEX(US_x,25)-INDEX(US_x,42))^2+(INDEX(US_y,25)-INDEX(US_y,42))^2)</f>
        <v>25.067688365702967</v>
      </c>
      <c r="AT40" s="31">
        <f>SQRT((INDEX(US_x,25)-INDEX(US_x,43))^2+(INDEX(US_y,25)-INDEX(US_y,43))^2)</f>
        <v>39.34419652248601</v>
      </c>
      <c r="AU40" s="31">
        <f>SQRT((INDEX(US_x,25)-INDEX(US_x,44))^2+(INDEX(US_y,25)-INDEX(US_y,44))^2)</f>
        <v>33.3071959192004</v>
      </c>
      <c r="AV40" s="31">
        <f>SQRT((INDEX(US_x,25)-INDEX(US_x,45))^2+(INDEX(US_y,25)-INDEX(US_y,45))^2)</f>
        <v>43.11557143306812</v>
      </c>
      <c r="AW40" s="31">
        <f>SQRT((INDEX(US_x,25)-INDEX(US_x,46))^2+(INDEX(US_y,25)-INDEX(US_y,46))^2)</f>
        <v>25.884823739017417</v>
      </c>
      <c r="AX40" s="31">
        <f>SQRT((INDEX(US_x,25)-INDEX(US_x,47))^2+(INDEX(US_y,25)-INDEX(US_y,47))^2)</f>
        <v>12.833471860724206</v>
      </c>
      <c r="AY40" s="31">
        <f>SQRT((INDEX(US_x,25)-INDEX(US_x,48))^2+(INDEX(US_y,25)-INDEX(US_y,48))^2)</f>
        <v>13.390504098053963</v>
      </c>
      <c r="AZ40" s="31" t="s">
        <v>30</v>
      </c>
      <c r="BA40" s="34">
        <v>43.07</v>
      </c>
      <c r="BB40" s="34">
        <v>23.22</v>
      </c>
    </row>
    <row r="41" spans="3:54" ht="15" thickBot="1" thickTop="1">
      <c r="C41" s="26">
        <v>26</v>
      </c>
      <c r="D41" s="31">
        <f>SQRT((INDEX(US_x,26)-INDEX(US_x,1))^2+(INDEX(US_y,26)-INDEX(US_y,1))^2)</f>
        <v>60.754662372529076</v>
      </c>
      <c r="E41" s="31">
        <f>SQRT((INDEX(US_x,26)-INDEX(US_x,2))^2+(INDEX(US_y,26)-INDEX(US_y,2))^2)</f>
        <v>18.491565644909574</v>
      </c>
      <c r="F41" s="31">
        <f>SQRT((INDEX(US_x,26)-INDEX(US_x,3))^2+(INDEX(US_y,26)-INDEX(US_y,3))^2)</f>
        <v>48.72961009488994</v>
      </c>
      <c r="G41" s="33">
        <f>SQRT((INDEX(US_x,26)-INDEX(US_x,4))^2+(INDEX(US_y,26)-INDEX(US_y,4))^2)</f>
        <v>3.19845275094068</v>
      </c>
      <c r="H41" s="31">
        <f>SQRT((INDEX(US_x,26)-INDEX(US_x,5))^2+(INDEX(US_y,26)-INDEX(US_y,5))^2)</f>
        <v>24.90119073458135</v>
      </c>
      <c r="I41" s="31">
        <f>SQRT((INDEX(US_x,26)-INDEX(US_x,6))^2+(INDEX(US_y,26)-INDEX(US_y,6))^2)</f>
        <v>77.44855905696375</v>
      </c>
      <c r="J41" s="31">
        <f>SQRT((INDEX(US_x,26)-INDEX(US_x,7))^2+(INDEX(US_y,26)-INDEX(US_y,7))^2)</f>
        <v>74.11241731316015</v>
      </c>
      <c r="K41" s="31">
        <f>SQRT((INDEX(US_x,26)-INDEX(US_x,8))^2+(INDEX(US_y,26)-INDEX(US_y,8))^2)</f>
        <v>65.95206137794331</v>
      </c>
      <c r="L41" s="31">
        <f>SQRT((INDEX(US_x,26)-INDEX(US_x,9))^2+(INDEX(US_y,26)-INDEX(US_y,9))^2)</f>
        <v>62.84772867813125</v>
      </c>
      <c r="M41" s="31">
        <f>SQRT((INDEX(US_x,26)-INDEX(US_x,10))^2+(INDEX(US_y,26)-INDEX(US_y,10))^2)</f>
        <v>11.30848354112964</v>
      </c>
      <c r="N41" s="31">
        <f>SQRT((INDEX(US_x,26)-INDEX(US_x,11))^2+(INDEX(US_y,26)-INDEX(US_y,11))^2)</f>
        <v>50.53003958043176</v>
      </c>
      <c r="O41" s="31">
        <f>SQRT((INDEX(US_x,26)-INDEX(US_x,12))^2+(INDEX(US_y,26)-INDEX(US_y,12))^2)</f>
        <v>56.324315353140335</v>
      </c>
      <c r="P41" s="31">
        <f>SQRT((INDEX(US_x,26)-INDEX(US_x,13))^2+(INDEX(US_y,26)-INDEX(US_y,13))^2)</f>
        <v>43.6247464176011</v>
      </c>
      <c r="Q41" s="31">
        <f>SQRT((INDEX(US_x,26)-INDEX(US_x,14))^2+(INDEX(US_y,26)-INDEX(US_y,14))^2)</f>
        <v>40.692517739751615</v>
      </c>
      <c r="R41" s="31">
        <f>SQRT((INDEX(US_x,26)-INDEX(US_x,15))^2+(INDEX(US_y,26)-INDEX(US_y,15))^2)</f>
        <v>59.147200271864094</v>
      </c>
      <c r="S41" s="31">
        <f>SQRT((INDEX(US_x,26)-INDEX(US_x,16))^2+(INDEX(US_y,26)-INDEX(US_y,16))^2)</f>
        <v>54.42443660709774</v>
      </c>
      <c r="T41" s="31">
        <f>SQRT((INDEX(US_x,26)-INDEX(US_x,17))^2+(INDEX(US_y,26)-INDEX(US_y,17))^2)</f>
        <v>80.9714641092774</v>
      </c>
      <c r="U41" s="31">
        <f>SQRT((INDEX(US_x,26)-INDEX(US_x,18))^2+(INDEX(US_y,26)-INDEX(US_y,18))^2)</f>
        <v>72.62260323067467</v>
      </c>
      <c r="V41" s="31">
        <f>SQRT((INDEX(US_x,26)-INDEX(US_x,19))^2+(INDEX(US_y,26)-INDEX(US_y,19))^2)</f>
        <v>79.76047768161872</v>
      </c>
      <c r="W41" s="31">
        <f>SQRT((INDEX(US_x,26)-INDEX(US_x,20))^2+(INDEX(US_y,26)-INDEX(US_y,20))^2)</f>
        <v>58.162401944899074</v>
      </c>
      <c r="X41" s="31">
        <f>SQRT((INDEX(US_x,26)-INDEX(US_x,21))^2+(INDEX(US_y,26)-INDEX(US_y,21))^2)</f>
        <v>44.81588222940612</v>
      </c>
      <c r="Y41" s="31">
        <f>SQRT((INDEX(US_x,26)-INDEX(US_x,22))^2+(INDEX(US_y,26)-INDEX(US_y,22))^2)</f>
        <v>54.26996591117411</v>
      </c>
      <c r="Z41" s="31">
        <f>SQRT((INDEX(US_x,26)-INDEX(US_x,23))^2+(INDEX(US_y,26)-INDEX(US_y,23))^2)</f>
        <v>46.74350436156879</v>
      </c>
      <c r="AA41" s="31">
        <f>SQRT((INDEX(US_x,26)-INDEX(US_x,24))^2+(INDEX(US_y,26)-INDEX(US_y,24))^2)</f>
        <v>20.417083533159186</v>
      </c>
      <c r="AB41" s="31">
        <f>SQRT((INDEX(US_x,26)-INDEX(US_x,25))^2+(INDEX(US_y,26)-INDEX(US_y,25))^2)</f>
        <v>38.630661397392615</v>
      </c>
      <c r="AC41" s="31" t="s">
        <v>30</v>
      </c>
      <c r="AD41" s="31">
        <f>SQRT((INDEX(US_x,26)-INDEX(US_x,27))^2+(INDEX(US_y,26)-INDEX(US_y,27))^2)</f>
        <v>78.65962687427394</v>
      </c>
      <c r="AE41" s="31">
        <f>SQRT((INDEX(US_x,26)-INDEX(US_x,28))^2+(INDEX(US_y,26)-INDEX(US_y,28))^2)</f>
        <v>74.82819054340416</v>
      </c>
      <c r="AF41" s="31">
        <f>SQRT((INDEX(US_x,26)-INDEX(US_x,29))^2+(INDEX(US_y,26)-INDEX(US_y,29))^2)</f>
        <v>25.144589875358875</v>
      </c>
      <c r="AG41" s="31">
        <f>SQRT((INDEX(US_x,26)-INDEX(US_x,30))^2+(INDEX(US_y,26)-INDEX(US_y,30))^2)</f>
        <v>75.38721973915737</v>
      </c>
      <c r="AH41" s="31">
        <f>SQRT((INDEX(US_x,26)-INDEX(US_x,31))^2+(INDEX(US_y,26)-INDEX(US_y,31))^2)</f>
        <v>71.0062849330959</v>
      </c>
      <c r="AI41" s="31">
        <f>SQRT((INDEX(US_x,26)-INDEX(US_x,32))^2+(INDEX(US_y,26)-INDEX(US_y,32))^2)</f>
        <v>34.48231575750097</v>
      </c>
      <c r="AJ41" s="31">
        <f>SQRT((INDEX(US_x,26)-INDEX(US_x,33))^2+(INDEX(US_y,26)-INDEX(US_y,33))^2)</f>
        <v>61.457212758145815</v>
      </c>
      <c r="AK41" s="31">
        <f>SQRT((INDEX(US_x,26)-INDEX(US_x,34))^2+(INDEX(US_y,26)-INDEX(US_y,34))^2)</f>
        <v>39.376837100000806</v>
      </c>
      <c r="AL41" s="31">
        <f>SQRT((INDEX(US_x,26)-INDEX(US_x,35))^2+(INDEX(US_y,26)-INDEX(US_y,35))^2)</f>
        <v>13.74483175597286</v>
      </c>
      <c r="AM41" s="31">
        <f>SQRT((INDEX(US_x,26)-INDEX(US_x,36))^2+(INDEX(US_y,26)-INDEX(US_y,36))^2)</f>
        <v>71.33993131479733</v>
      </c>
      <c r="AN41" s="31">
        <f>SQRT((INDEX(US_x,26)-INDEX(US_x,37))^2+(INDEX(US_y,26)-INDEX(US_y,37))^2)</f>
        <v>79.43959340278624</v>
      </c>
      <c r="AO41" s="31">
        <f>SQRT((INDEX(US_x,26)-INDEX(US_x,38))^2+(INDEX(US_y,26)-INDEX(US_y,38))^2)</f>
        <v>68.30134186090343</v>
      </c>
      <c r="AP41" s="31">
        <f>SQRT((INDEX(US_x,26)-INDEX(US_x,39))^2+(INDEX(US_y,26)-INDEX(US_y,39))^2)</f>
        <v>33.4870273389562</v>
      </c>
      <c r="AQ41" s="31">
        <f>SQRT((INDEX(US_x,26)-INDEX(US_x,40))^2+(INDEX(US_y,26)-INDEX(US_y,40))^2)</f>
        <v>57.08752665863183</v>
      </c>
      <c r="AR41" s="31">
        <f>SQRT((INDEX(US_x,26)-INDEX(US_x,41))^2+(INDEX(US_y,26)-INDEX(US_y,41))^2)</f>
        <v>43.961410350442584</v>
      </c>
      <c r="AS41" s="31">
        <f>SQRT((INDEX(US_x,26)-INDEX(US_x,42))^2+(INDEX(US_y,26)-INDEX(US_y,42))^2)</f>
        <v>13.62736218055424</v>
      </c>
      <c r="AT41" s="31">
        <f>SQRT((INDEX(US_x,26)-INDEX(US_x,43))^2+(INDEX(US_y,26)-INDEX(US_y,43))^2)</f>
        <v>76.66907720848086</v>
      </c>
      <c r="AU41" s="31">
        <f>SQRT((INDEX(US_x,26)-INDEX(US_x,44))^2+(INDEX(US_y,26)-INDEX(US_y,44))^2)</f>
        <v>71.89565007703874</v>
      </c>
      <c r="AV41" s="31">
        <f>SQRT((INDEX(US_x,26)-INDEX(US_x,45))^2+(INDEX(US_y,26)-INDEX(US_y,45))^2)</f>
        <v>17.97533031685371</v>
      </c>
      <c r="AW41" s="31">
        <f>SQRT((INDEX(US_x,26)-INDEX(US_x,46))^2+(INDEX(US_y,26)-INDEX(US_y,46))^2)</f>
        <v>64.45897377402156</v>
      </c>
      <c r="AX41" s="31">
        <f>SQRT((INDEX(US_x,26)-INDEX(US_x,47))^2+(INDEX(US_y,26)-INDEX(US_y,47))^2)</f>
        <v>50.409923626206776</v>
      </c>
      <c r="AY41" s="31">
        <f>SQRT((INDEX(US_x,26)-INDEX(US_x,48))^2+(INDEX(US_y,26)-INDEX(US_y,48))^2)</f>
        <v>25.276866894455097</v>
      </c>
      <c r="AZ41" s="31" t="s">
        <v>30</v>
      </c>
      <c r="BA41" s="34">
        <v>6.75</v>
      </c>
      <c r="BB41" s="34">
        <v>10.06</v>
      </c>
    </row>
    <row r="42" spans="3:54" ht="15" thickBot="1" thickTop="1">
      <c r="C42" s="26">
        <v>27</v>
      </c>
      <c r="D42" s="31">
        <f>SQRT((INDEX(US_x,27)-INDEX(US_x,1))^2+(INDEX(US_y,27)-INDEX(US_y,1))^2)</f>
        <v>34.646784843618605</v>
      </c>
      <c r="E42" s="31">
        <f>SQRT((INDEX(US_x,27)-INDEX(US_x,2))^2+(INDEX(US_y,27)-INDEX(US_y,2))^2)</f>
        <v>71.72877037841928</v>
      </c>
      <c r="F42" s="31">
        <f>SQRT((INDEX(US_x,27)-INDEX(US_x,3))^2+(INDEX(US_y,27)-INDEX(US_y,3))^2)</f>
        <v>39.530557800263836</v>
      </c>
      <c r="G42" s="31">
        <f>SQRT((INDEX(US_x,27)-INDEX(US_x,4))^2+(INDEX(US_y,27)-INDEX(US_y,4))^2)</f>
        <v>81.85609323685073</v>
      </c>
      <c r="H42" s="31">
        <f>SQRT((INDEX(US_x,27)-INDEX(US_x,5))^2+(INDEX(US_y,27)-INDEX(US_y,5))^2)</f>
        <v>54.8528522503616</v>
      </c>
      <c r="I42" s="31">
        <f>SQRT((INDEX(US_x,27)-INDEX(US_x,6))^2+(INDEX(US_y,27)-INDEX(US_y,6))^2)</f>
        <v>3.648698398059231</v>
      </c>
      <c r="J42" s="31">
        <f>SQRT((INDEX(US_x,27)-INDEX(US_x,7))^2+(INDEX(US_y,27)-INDEX(US_y,7))^2)</f>
        <v>11.031468623895915</v>
      </c>
      <c r="K42" s="31">
        <f>SQRT((INDEX(US_x,27)-INDEX(US_x,8))^2+(INDEX(US_y,27)-INDEX(US_y,8))^2)</f>
        <v>35.628220556182704</v>
      </c>
      <c r="L42" s="31">
        <f>SQRT((INDEX(US_x,27)-INDEX(US_x,9))^2+(INDEX(US_y,27)-INDEX(US_y,9))^2)</f>
        <v>30.066601071620976</v>
      </c>
      <c r="M42" s="31">
        <f>SQRT((INDEX(US_x,27)-INDEX(US_x,10))^2+(INDEX(US_y,27)-INDEX(US_y,10))^2)</f>
        <v>70.13212459351277</v>
      </c>
      <c r="N42" s="31">
        <f>SQRT((INDEX(US_x,27)-INDEX(US_x,11))^2+(INDEX(US_y,27)-INDEX(US_y,11))^2)</f>
        <v>30.41864231026756</v>
      </c>
      <c r="O42" s="31">
        <f>SQRT((INDEX(US_x,27)-INDEX(US_x,12))^2+(INDEX(US_y,27)-INDEX(US_y,12))^2)</f>
        <v>24.9785347848908</v>
      </c>
      <c r="P42" s="31">
        <f>SQRT((INDEX(US_x,27)-INDEX(US_x,13))^2+(INDEX(US_y,27)-INDEX(US_y,13))^2)</f>
        <v>35.66206107335917</v>
      </c>
      <c r="Q42" s="31">
        <f>SQRT((INDEX(US_x,27)-INDEX(US_x,14))^2+(INDEX(US_y,27)-INDEX(US_y,14))^2)</f>
        <v>40.51160944716958</v>
      </c>
      <c r="R42" s="31">
        <f>SQRT((INDEX(US_x,27)-INDEX(US_x,15))^2+(INDEX(US_y,27)-INDEX(US_y,15))^2)</f>
        <v>24.539274642906623</v>
      </c>
      <c r="S42" s="31">
        <f>SQRT((INDEX(US_x,27)-INDEX(US_x,16))^2+(INDEX(US_y,27)-INDEX(US_y,16))^2)</f>
        <v>43.95361646099215</v>
      </c>
      <c r="T42" s="31">
        <f>SQRT((INDEX(US_x,27)-INDEX(US_x,17))^2+(INDEX(US_y,27)-INDEX(US_y,17))^2)</f>
        <v>3.692709032675069</v>
      </c>
      <c r="U42" s="31">
        <f>SQRT((INDEX(US_x,27)-INDEX(US_x,18))^2+(INDEX(US_y,27)-INDEX(US_y,18))^2)</f>
        <v>12.325136916075211</v>
      </c>
      <c r="V42" s="33">
        <f>SQRT((INDEX(US_x,27)-INDEX(US_x,19))^2+(INDEX(US_y,27)-INDEX(US_y,19))^2)</f>
        <v>2.013578903345977</v>
      </c>
      <c r="W42" s="31">
        <f>SQRT((INDEX(US_x,27)-INDEX(US_x,20))^2+(INDEX(US_y,27)-INDEX(US_y,20))^2)</f>
        <v>20.788431879292865</v>
      </c>
      <c r="X42" s="31">
        <f>SQRT((INDEX(US_x,27)-INDEX(US_x,21))^2+(INDEX(US_y,27)-INDEX(US_y,21))^2)</f>
        <v>33.970110391342565</v>
      </c>
      <c r="Y42" s="31">
        <f>SQRT((INDEX(US_x,27)-INDEX(US_x,22))^2+(INDEX(US_y,27)-INDEX(US_y,22))^2)</f>
        <v>39.838168883622146</v>
      </c>
      <c r="Z42" s="31">
        <f>SQRT((INDEX(US_x,27)-INDEX(US_x,23))^2+(INDEX(US_y,27)-INDEX(US_y,23))^2)</f>
        <v>35.361709517499285</v>
      </c>
      <c r="AA42" s="31">
        <f>SQRT((INDEX(US_x,27)-INDEX(US_x,24))^2+(INDEX(US_y,27)-INDEX(US_y,24))^2)</f>
        <v>62.538135565429194</v>
      </c>
      <c r="AB42" s="31">
        <f>SQRT((INDEX(US_x,27)-INDEX(US_x,25))^2+(INDEX(US_y,27)-INDEX(US_y,25))^2)</f>
        <v>40.96890650237079</v>
      </c>
      <c r="AC42" s="31">
        <f>SQRT((INDEX(US_x,27)-INDEX(US_x,26))^2+(INDEX(US_y,27)-INDEX(US_y,26))^2)</f>
        <v>78.65962687427394</v>
      </c>
      <c r="AD42" s="31" t="s">
        <v>30</v>
      </c>
      <c r="AE42" s="31">
        <f>SQRT((INDEX(US_x,27)-INDEX(US_x,28))^2+(INDEX(US_y,27)-INDEX(US_y,28))^2)</f>
        <v>8.381169369485377</v>
      </c>
      <c r="AF42" s="31">
        <f>SQRT((INDEX(US_x,27)-INDEX(US_x,29))^2+(INDEX(US_y,27)-INDEX(US_y,29))^2)</f>
        <v>59.72842957922131</v>
      </c>
      <c r="AG42" s="31">
        <f>SQRT((INDEX(US_x,27)-INDEX(US_x,30))^2+(INDEX(US_y,27)-INDEX(US_y,30))^2)</f>
        <v>3.7306567786383105</v>
      </c>
      <c r="AH42" s="31">
        <f>SQRT((INDEX(US_x,27)-INDEX(US_x,31))^2+(INDEX(US_y,27)-INDEX(US_y,31))^2)</f>
        <v>20.18024776854833</v>
      </c>
      <c r="AI42" s="31">
        <f>SQRT((INDEX(US_x,27)-INDEX(US_x,32))^2+(INDEX(US_y,27)-INDEX(US_y,32))^2)</f>
        <v>45.68183008593241</v>
      </c>
      <c r="AJ42" s="31">
        <f>SQRT((INDEX(US_x,27)-INDEX(US_x,33))^2+(INDEX(US_y,27)-INDEX(US_y,33))^2)</f>
        <v>19.959852203861622</v>
      </c>
      <c r="AK42" s="31">
        <f>SQRT((INDEX(US_x,27)-INDEX(US_x,34))^2+(INDEX(US_y,27)-INDEX(US_y,34))^2)</f>
        <v>46.68666833261932</v>
      </c>
      <c r="AL42" s="31">
        <f>SQRT((INDEX(US_x,27)-INDEX(US_x,35))^2+(INDEX(US_y,27)-INDEX(US_y,35))^2)</f>
        <v>79.69104905822233</v>
      </c>
      <c r="AM42" s="31">
        <f>SQRT((INDEX(US_x,27)-INDEX(US_x,36))^2+(INDEX(US_y,27)-INDEX(US_y,36))^2)</f>
        <v>10.84365713216717</v>
      </c>
      <c r="AN42" s="31">
        <f>SQRT((INDEX(US_x,27)-INDEX(US_x,37))^2+(INDEX(US_y,27)-INDEX(US_y,37))^2)</f>
        <v>3.050000000000001</v>
      </c>
      <c r="AO42" s="31">
        <f>SQRT((INDEX(US_x,27)-INDEX(US_x,38))^2+(INDEX(US_y,27)-INDEX(US_y,38))^2)</f>
        <v>25.801538713805417</v>
      </c>
      <c r="AP42" s="31">
        <f>SQRT((INDEX(US_x,27)-INDEX(US_x,39))^2+(INDEX(US_y,27)-INDEX(US_y,39))^2)</f>
        <v>45.31350902324824</v>
      </c>
      <c r="AQ42" s="31">
        <f>SQRT((INDEX(US_x,27)-INDEX(US_x,40))^2+(INDEX(US_y,27)-INDEX(US_y,40))^2)</f>
        <v>29.75317125954811</v>
      </c>
      <c r="AR42" s="31">
        <f>SQRT((INDEX(US_x,27)-INDEX(US_x,41))^2+(INDEX(US_y,27)-INDEX(US_y,41))^2)</f>
        <v>53.38346279513909</v>
      </c>
      <c r="AS42" s="31">
        <f>SQRT((INDEX(US_x,27)-INDEX(US_x,42))^2+(INDEX(US_y,27)-INDEX(US_y,42))^2)</f>
        <v>65.0851910959782</v>
      </c>
      <c r="AT42" s="31">
        <f>SQRT((INDEX(US_x,27)-INDEX(US_x,43))^2+(INDEX(US_y,27)-INDEX(US_y,43))^2)</f>
        <v>2.8640006983239386</v>
      </c>
      <c r="AU42" s="31">
        <f>SQRT((INDEX(US_x,27)-INDEX(US_x,44))^2+(INDEX(US_y,27)-INDEX(US_y,44))^2)</f>
        <v>15.806694784172937</v>
      </c>
      <c r="AV42" s="31">
        <f>SQRT((INDEX(US_x,27)-INDEX(US_x,45))^2+(INDEX(US_y,27)-INDEX(US_y,45))^2)</f>
        <v>78.43435089296015</v>
      </c>
      <c r="AW42" s="31">
        <f>SQRT((INDEX(US_x,27)-INDEX(US_x,46))^2+(INDEX(US_y,27)-INDEX(US_y,46))^2)</f>
        <v>19.732663276912216</v>
      </c>
      <c r="AX42" s="31">
        <f>SQRT((INDEX(US_x,27)-INDEX(US_x,47))^2+(INDEX(US_y,27)-INDEX(US_y,47))^2)</f>
        <v>28.378902374827675</v>
      </c>
      <c r="AY42" s="31">
        <f>SQRT((INDEX(US_x,27)-INDEX(US_x,48))^2+(INDEX(US_y,27)-INDEX(US_y,48))^2)</f>
        <v>53.68067901955041</v>
      </c>
      <c r="AZ42" s="31" t="s">
        <v>30</v>
      </c>
      <c r="BA42" s="34">
        <v>75.55</v>
      </c>
      <c r="BB42" s="34">
        <v>48.19</v>
      </c>
    </row>
    <row r="43" spans="3:54" ht="15" thickBot="1" thickTop="1">
      <c r="C43" s="26">
        <v>28</v>
      </c>
      <c r="D43" s="31">
        <f>SQRT((INDEX(US_x,28)-INDEX(US_x,1))^2+(INDEX(US_y,28)-INDEX(US_y,1))^2)</f>
        <v>26.536829124821978</v>
      </c>
      <c r="E43" s="31">
        <f>SQRT((INDEX(US_x,28)-INDEX(US_x,2))^2+(INDEX(US_y,28)-INDEX(US_y,2))^2)</f>
        <v>66.29004827272341</v>
      </c>
      <c r="F43" s="31">
        <f>SQRT((INDEX(US_x,28)-INDEX(US_x,3))^2+(INDEX(US_y,28)-INDEX(US_y,3))^2)</f>
        <v>32.53055486769323</v>
      </c>
      <c r="G43" s="31">
        <f>SQRT((INDEX(US_x,28)-INDEX(US_x,4))^2+(INDEX(US_y,28)-INDEX(US_y,4))^2)</f>
        <v>77.99948717780136</v>
      </c>
      <c r="H43" s="31">
        <f>SQRT((INDEX(US_x,28)-INDEX(US_x,5))^2+(INDEX(US_y,28)-INDEX(US_y,5))^2)</f>
        <v>50.34307300910424</v>
      </c>
      <c r="I43" s="31">
        <f>SQRT((INDEX(US_x,28)-INDEX(US_x,6))^2+(INDEX(US_y,28)-INDEX(US_y,6))^2)</f>
        <v>4.816824680222435</v>
      </c>
      <c r="J43" s="33">
        <f>SQRT((INDEX(US_x,28)-INDEX(US_x,7))^2+(INDEX(US_y,28)-INDEX(US_y,7))^2)</f>
        <v>2.669250831225877</v>
      </c>
      <c r="K43" s="31">
        <f>SQRT((INDEX(US_x,28)-INDEX(US_x,8))^2+(INDEX(US_y,28)-INDEX(US_y,8))^2)</f>
        <v>27.27002933625118</v>
      </c>
      <c r="L43" s="31">
        <f>SQRT((INDEX(US_x,28)-INDEX(US_x,9))^2+(INDEX(US_y,28)-INDEX(US_y,9))^2)</f>
        <v>21.92410773554992</v>
      </c>
      <c r="M43" s="31">
        <f>SQRT((INDEX(US_x,28)-INDEX(US_x,10))^2+(INDEX(US_y,28)-INDEX(US_y,10))^2)</f>
        <v>67.13022046738712</v>
      </c>
      <c r="N43" s="31">
        <f>SQRT((INDEX(US_x,28)-INDEX(US_x,11))^2+(INDEX(US_y,28)-INDEX(US_y,11))^2)</f>
        <v>24.87559848526262</v>
      </c>
      <c r="O43" s="31">
        <f>SQRT((INDEX(US_x,28)-INDEX(US_x,12))^2+(INDEX(US_y,28)-INDEX(US_y,12))^2)</f>
        <v>19.069263226459483</v>
      </c>
      <c r="P43" s="31">
        <f>SQRT((INDEX(US_x,28)-INDEX(US_x,13))^2+(INDEX(US_y,28)-INDEX(US_y,13))^2)</f>
        <v>31.217741750485406</v>
      </c>
      <c r="Q43" s="31">
        <f>SQRT((INDEX(US_x,28)-INDEX(US_x,14))^2+(INDEX(US_y,28)-INDEX(US_y,14))^2)</f>
        <v>35.165262689193725</v>
      </c>
      <c r="R43" s="31">
        <f>SQRT((INDEX(US_x,28)-INDEX(US_x,15))^2+(INDEX(US_y,28)-INDEX(US_y,15))^2)</f>
        <v>17.636439549977204</v>
      </c>
      <c r="S43" s="31">
        <f>SQRT((INDEX(US_x,28)-INDEX(US_x,16))^2+(INDEX(US_y,28)-INDEX(US_y,16))^2)</f>
        <v>36.0911346455054</v>
      </c>
      <c r="T43" s="31">
        <f>SQRT((INDEX(US_x,28)-INDEX(US_x,17))^2+(INDEX(US_y,28)-INDEX(US_y,17))^2)</f>
        <v>12.050348542677098</v>
      </c>
      <c r="U43" s="31">
        <f>SQRT((INDEX(US_x,28)-INDEX(US_x,18))^2+(INDEX(US_y,28)-INDEX(US_y,18))^2)</f>
        <v>3.989009902218847</v>
      </c>
      <c r="V43" s="31">
        <f>SQRT((INDEX(US_x,28)-INDEX(US_x,19))^2+(INDEX(US_y,28)-INDEX(US_y,19))^2)</f>
        <v>7.661886190749632</v>
      </c>
      <c r="W43" s="31">
        <f>SQRT((INDEX(US_x,28)-INDEX(US_x,20))^2+(INDEX(US_y,28)-INDEX(US_y,20))^2)</f>
        <v>16.93895215177137</v>
      </c>
      <c r="X43" s="31">
        <f>SQRT((INDEX(US_x,28)-INDEX(US_x,21))^2+(INDEX(US_y,28)-INDEX(US_y,21))^2)</f>
        <v>31.18638805632996</v>
      </c>
      <c r="Y43" s="31">
        <f>SQRT((INDEX(US_x,28)-INDEX(US_x,22))^2+(INDEX(US_y,28)-INDEX(US_y,22))^2)</f>
        <v>32.118905647608855</v>
      </c>
      <c r="Z43" s="31">
        <f>SQRT((INDEX(US_x,28)-INDEX(US_x,23))^2+(INDEX(US_y,28)-INDEX(US_y,23))^2)</f>
        <v>29.531957266662836</v>
      </c>
      <c r="AA43" s="31">
        <f>SQRT((INDEX(US_x,28)-INDEX(US_x,24))^2+(INDEX(US_y,28)-INDEX(US_y,24))^2)</f>
        <v>60.23126098630179</v>
      </c>
      <c r="AB43" s="31">
        <f>SQRT((INDEX(US_x,28)-INDEX(US_x,25))^2+(INDEX(US_y,28)-INDEX(US_y,25))^2)</f>
        <v>36.346990246786596</v>
      </c>
      <c r="AC43" s="31">
        <f>SQRT((INDEX(US_x,28)-INDEX(US_x,26))^2+(INDEX(US_y,28)-INDEX(US_y,26))^2)</f>
        <v>74.82819054340416</v>
      </c>
      <c r="AD43" s="31">
        <f>SQRT((INDEX(US_x,28)-INDEX(US_x,27))^2+(INDEX(US_y,28)-INDEX(US_y,27))^2)</f>
        <v>8.381169369485377</v>
      </c>
      <c r="AE43" s="31" t="s">
        <v>30</v>
      </c>
      <c r="AF43" s="31">
        <f>SQRT((INDEX(US_x,28)-INDEX(US_x,29))^2+(INDEX(US_y,28)-INDEX(US_y,29))^2)</f>
        <v>54.2633587239124</v>
      </c>
      <c r="AG43" s="31">
        <f>SQRT((INDEX(US_x,28)-INDEX(US_x,30))^2+(INDEX(US_y,28)-INDEX(US_y,30))^2)</f>
        <v>5.579838707346298</v>
      </c>
      <c r="AH43" s="31">
        <f>SQRT((INDEX(US_x,28)-INDEX(US_x,31))^2+(INDEX(US_y,28)-INDEX(US_y,31))^2)</f>
        <v>11.800067796415409</v>
      </c>
      <c r="AI43" s="31">
        <f>SQRT((INDEX(US_x,28)-INDEX(US_x,32))^2+(INDEX(US_y,28)-INDEX(US_y,32))^2)</f>
        <v>43.48861000308011</v>
      </c>
      <c r="AJ43" s="31">
        <f>SQRT((INDEX(US_x,28)-INDEX(US_x,33))^2+(INDEX(US_y,28)-INDEX(US_y,33))^2)</f>
        <v>13.769854755951489</v>
      </c>
      <c r="AK43" s="31">
        <f>SQRT((INDEX(US_x,28)-INDEX(US_x,34))^2+(INDEX(US_y,28)-INDEX(US_y,34))^2)</f>
        <v>40.4321382071243</v>
      </c>
      <c r="AL43" s="31">
        <f>SQRT((INDEX(US_x,28)-INDEX(US_x,35))^2+(INDEX(US_y,28)-INDEX(US_y,35))^2)</f>
        <v>77.2240564850099</v>
      </c>
      <c r="AM43" s="31">
        <f>SQRT((INDEX(US_x,28)-INDEX(US_x,36))^2+(INDEX(US_y,28)-INDEX(US_y,36))^2)</f>
        <v>3.5588340787398294</v>
      </c>
      <c r="AN43" s="31">
        <f>SQRT((INDEX(US_x,28)-INDEX(US_x,37))^2+(INDEX(US_y,28)-INDEX(US_y,37))^2)</f>
        <v>6.52561874460959</v>
      </c>
      <c r="AO43" s="31">
        <f>SQRT((INDEX(US_x,28)-INDEX(US_x,38))^2+(INDEX(US_y,28)-INDEX(US_y,38))^2)</f>
        <v>17.43378903164771</v>
      </c>
      <c r="AP43" s="31">
        <f>SQRT((INDEX(US_x,28)-INDEX(US_x,39))^2+(INDEX(US_y,28)-INDEX(US_y,39))^2)</f>
        <v>42.173869872232494</v>
      </c>
      <c r="AQ43" s="31">
        <f>SQRT((INDEX(US_x,28)-INDEX(US_x,40))^2+(INDEX(US_y,28)-INDEX(US_y,40))^2)</f>
        <v>22.40673113151492</v>
      </c>
      <c r="AR43" s="31">
        <f>SQRT((INDEX(US_x,28)-INDEX(US_x,41))^2+(INDEX(US_y,28)-INDEX(US_y,41))^2)</f>
        <v>46.13720516026085</v>
      </c>
      <c r="AS43" s="31">
        <f>SQRT((INDEX(US_x,28)-INDEX(US_x,42))^2+(INDEX(US_y,28)-INDEX(US_y,42))^2)</f>
        <v>61.203242561158476</v>
      </c>
      <c r="AT43" s="31">
        <f>SQRT((INDEX(US_x,28)-INDEX(US_x,43))^2+(INDEX(US_y,28)-INDEX(US_y,43))^2)</f>
        <v>9.543819989920179</v>
      </c>
      <c r="AU43" s="31">
        <f>SQRT((INDEX(US_x,28)-INDEX(US_x,44))^2+(INDEX(US_y,28)-INDEX(US_y,44))^2)</f>
        <v>7.426897064050371</v>
      </c>
      <c r="AV43" s="31">
        <f>SQRT((INDEX(US_x,28)-INDEX(US_x,45))^2+(INDEX(US_y,28)-INDEX(US_y,45))^2)</f>
        <v>76.43231384695873</v>
      </c>
      <c r="AW43" s="31">
        <f>SQRT((INDEX(US_x,28)-INDEX(US_x,46))^2+(INDEX(US_y,28)-INDEX(US_y,46))^2)</f>
        <v>12.308127396155765</v>
      </c>
      <c r="AX43" s="31">
        <f>SQRT((INDEX(US_x,28)-INDEX(US_x,47))^2+(INDEX(US_y,28)-INDEX(US_y,47))^2)</f>
        <v>24.644400986836743</v>
      </c>
      <c r="AY43" s="31">
        <f>SQRT((INDEX(US_x,28)-INDEX(US_x,48))^2+(INDEX(US_y,28)-INDEX(US_y,48))^2)</f>
        <v>49.56797857488239</v>
      </c>
      <c r="AZ43" s="31" t="s">
        <v>30</v>
      </c>
      <c r="BA43" s="34">
        <v>75.41</v>
      </c>
      <c r="BB43" s="34">
        <v>39.81</v>
      </c>
    </row>
    <row r="44" spans="3:54" ht="15" thickBot="1" thickTop="1">
      <c r="C44" s="26">
        <v>29</v>
      </c>
      <c r="D44" s="31">
        <f>SQRT((INDEX(US_x,29)-INDEX(US_x,1))^2+(INDEX(US_y,29)-INDEX(US_y,1))^2)</f>
        <v>36.24645913741093</v>
      </c>
      <c r="E44" s="33">
        <f>SQRT((INDEX(US_x,29)-INDEX(US_x,2))^2+(INDEX(US_y,29)-INDEX(US_y,2))^2)</f>
        <v>12.03184108937614</v>
      </c>
      <c r="F44" s="31">
        <f>SQRT((INDEX(US_x,29)-INDEX(US_x,3))^2+(INDEX(US_y,29)-INDEX(US_y,3))^2)</f>
        <v>24.45983033465277</v>
      </c>
      <c r="G44" s="31">
        <f>SQRT((INDEX(US_x,29)-INDEX(US_x,4))^2+(INDEX(US_y,29)-INDEX(US_y,4))^2)</f>
        <v>27.773010279766215</v>
      </c>
      <c r="H44" s="31">
        <f>SQRT((INDEX(US_x,29)-INDEX(US_x,5))^2+(INDEX(US_y,29)-INDEX(US_y,5))^2)</f>
        <v>8.930671867222536</v>
      </c>
      <c r="I44" s="31">
        <f>SQRT((INDEX(US_x,29)-INDEX(US_x,6))^2+(INDEX(US_y,29)-INDEX(US_y,6))^2)</f>
        <v>57.73955749743844</v>
      </c>
      <c r="J44" s="31">
        <f>SQRT((INDEX(US_x,29)-INDEX(US_x,7))^2+(INDEX(US_y,29)-INDEX(US_y,7))^2)</f>
        <v>52.99661876006809</v>
      </c>
      <c r="K44" s="31">
        <f>SQRT((INDEX(US_x,29)-INDEX(US_x,8))^2+(INDEX(US_y,29)-INDEX(US_y,8))^2)</f>
        <v>41.19937863609111</v>
      </c>
      <c r="L44" s="31">
        <f>SQRT((INDEX(US_x,29)-INDEX(US_x,9))^2+(INDEX(US_y,29)-INDEX(US_y,9))^2)</f>
        <v>38.88506397063017</v>
      </c>
      <c r="M44" s="31">
        <f>SQRT((INDEX(US_x,29)-INDEX(US_x,10))^2+(INDEX(US_y,29)-INDEX(US_y,10))^2)</f>
        <v>24.36405959605254</v>
      </c>
      <c r="N44" s="31">
        <f>SQRT((INDEX(US_x,29)-INDEX(US_x,11))^2+(INDEX(US_y,29)-INDEX(US_y,11))^2)</f>
        <v>29.446869103522705</v>
      </c>
      <c r="O44" s="31">
        <f>SQRT((INDEX(US_x,29)-INDEX(US_x,12))^2+(INDEX(US_y,29)-INDEX(US_y,12))^2)</f>
        <v>35.198058185076064</v>
      </c>
      <c r="P44" s="31">
        <f>SQRT((INDEX(US_x,29)-INDEX(US_x,13))^2+(INDEX(US_y,29)-INDEX(US_y,13))^2)</f>
        <v>24.52868728652229</v>
      </c>
      <c r="Q44" s="31">
        <f>SQRT((INDEX(US_x,29)-INDEX(US_x,14))^2+(INDEX(US_y,29)-INDEX(US_y,14))^2)</f>
        <v>19.222554460841046</v>
      </c>
      <c r="R44" s="31">
        <f>SQRT((INDEX(US_x,29)-INDEX(US_x,15))^2+(INDEX(US_y,29)-INDEX(US_y,15))^2)</f>
        <v>37.09747835096073</v>
      </c>
      <c r="S44" s="31">
        <f>SQRT((INDEX(US_x,29)-INDEX(US_x,16))^2+(INDEX(US_y,29)-INDEX(US_y,16))^2)</f>
        <v>29.312913536528573</v>
      </c>
      <c r="T44" s="31">
        <f>SQRT((INDEX(US_x,29)-INDEX(US_x,17))^2+(INDEX(US_y,29)-INDEX(US_y,17))^2)</f>
        <v>62.66381731110866</v>
      </c>
      <c r="U44" s="31">
        <f>SQRT((INDEX(US_x,29)-INDEX(US_x,18))^2+(INDEX(US_y,29)-INDEX(US_y,18))^2)</f>
        <v>51.37390485450761</v>
      </c>
      <c r="V44" s="31">
        <f>SQRT((INDEX(US_x,29)-INDEX(US_x,19))^2+(INDEX(US_y,29)-INDEX(US_y,19))^2)</f>
        <v>60.402908870351595</v>
      </c>
      <c r="W44" s="31">
        <f>SQRT((INDEX(US_x,29)-INDEX(US_x,20))^2+(INDEX(US_y,29)-INDEX(US_y,20))^2)</f>
        <v>39.0931630851227</v>
      </c>
      <c r="X44" s="31">
        <f>SQRT((INDEX(US_x,29)-INDEX(US_x,21))^2+(INDEX(US_y,29)-INDEX(US_y,21))^2)</f>
        <v>29.211992400382414</v>
      </c>
      <c r="Y44" s="31">
        <f>SQRT((INDEX(US_x,29)-INDEX(US_x,22))^2+(INDEX(US_y,29)-INDEX(US_y,22))^2)</f>
        <v>29.453509128794824</v>
      </c>
      <c r="Z44" s="31">
        <f>SQRT((INDEX(US_x,29)-INDEX(US_x,23))^2+(INDEX(US_y,29)-INDEX(US_y,23))^2)</f>
        <v>24.742594851793537</v>
      </c>
      <c r="AA44" s="31">
        <f>SQRT((INDEX(US_x,29)-INDEX(US_x,24))^2+(INDEX(US_y,29)-INDEX(US_y,24))^2)</f>
        <v>25.68802250076872</v>
      </c>
      <c r="AB44" s="31">
        <f>SQRT((INDEX(US_x,29)-INDEX(US_x,25))^2+(INDEX(US_y,29)-INDEX(US_y,25))^2)</f>
        <v>19.31128167678158</v>
      </c>
      <c r="AC44" s="31">
        <f>SQRT((INDEX(US_x,29)-INDEX(US_x,26))^2+(INDEX(US_y,29)-INDEX(US_y,26))^2)</f>
        <v>25.144589875358875</v>
      </c>
      <c r="AD44" s="31">
        <f>SQRT((INDEX(US_x,29)-INDEX(US_x,27))^2+(INDEX(US_y,29)-INDEX(US_y,27))^2)</f>
        <v>59.72842957922131</v>
      </c>
      <c r="AE44" s="31">
        <f>SQRT((INDEX(US_x,29)-INDEX(US_x,28))^2+(INDEX(US_y,29)-INDEX(US_y,28))^2)</f>
        <v>54.2633587239124</v>
      </c>
      <c r="AF44" s="31" t="s">
        <v>30</v>
      </c>
      <c r="AG44" s="31">
        <f>SQRT((INDEX(US_x,29)-INDEX(US_x,30))^2+(INDEX(US_y,29)-INDEX(US_y,30))^2)</f>
        <v>56.118735730591794</v>
      </c>
      <c r="AH44" s="31">
        <f>SQRT((INDEX(US_x,29)-INDEX(US_x,31))^2+(INDEX(US_y,29)-INDEX(US_y,31))^2)</f>
        <v>48.230124403737555</v>
      </c>
      <c r="AI44" s="31">
        <f>SQRT((INDEX(US_x,29)-INDEX(US_x,32))^2+(INDEX(US_y,29)-INDEX(US_y,32))^2)</f>
        <v>25.499068610441437</v>
      </c>
      <c r="AJ44" s="31">
        <f>SQRT((INDEX(US_x,29)-INDEX(US_x,33))^2+(INDEX(US_y,29)-INDEX(US_y,33))^2)</f>
        <v>40.49430824202336</v>
      </c>
      <c r="AK44" s="31">
        <f>SQRT((INDEX(US_x,29)-INDEX(US_x,34))^2+(INDEX(US_y,29)-INDEX(US_y,34))^2)</f>
        <v>14.977065800750157</v>
      </c>
      <c r="AL44" s="31">
        <f>SQRT((INDEX(US_x,29)-INDEX(US_x,35))^2+(INDEX(US_y,29)-INDEX(US_y,35))^2)</f>
        <v>34.7553103856087</v>
      </c>
      <c r="AM44" s="31">
        <f>SQRT((INDEX(US_x,29)-INDEX(US_x,36))^2+(INDEX(US_y,29)-INDEX(US_y,36))^2)</f>
        <v>50.70657748261068</v>
      </c>
      <c r="AN44" s="31">
        <f>SQRT((INDEX(US_x,29)-INDEX(US_x,37))^2+(INDEX(US_y,29)-INDEX(US_y,37))^2)</f>
        <v>59.79978762504095</v>
      </c>
      <c r="AO44" s="31">
        <f>SQRT((INDEX(US_x,29)-INDEX(US_x,38))^2+(INDEX(US_y,29)-INDEX(US_y,38))^2)</f>
        <v>44.69940603632223</v>
      </c>
      <c r="AP44" s="31">
        <f>SQRT((INDEX(US_x,29)-INDEX(US_x,39))^2+(INDEX(US_y,29)-INDEX(US_y,39))^2)</f>
        <v>20.95609219296384</v>
      </c>
      <c r="AQ44" s="31">
        <f>SQRT((INDEX(US_x,29)-INDEX(US_x,40))^2+(INDEX(US_y,29)-INDEX(US_y,40))^2)</f>
        <v>33.873997402137235</v>
      </c>
      <c r="AR44" s="31">
        <f>SQRT((INDEX(US_x,29)-INDEX(US_x,41))^2+(INDEX(US_y,29)-INDEX(US_y,41))^2)</f>
        <v>19.10057590754792</v>
      </c>
      <c r="AS44" s="31">
        <f>SQRT((INDEX(US_x,29)-INDEX(US_x,42))^2+(INDEX(US_y,29)-INDEX(US_y,42))^2)</f>
        <v>15.00363289340285</v>
      </c>
      <c r="AT44" s="31">
        <f>SQRT((INDEX(US_x,29)-INDEX(US_x,43))^2+(INDEX(US_y,29)-INDEX(US_y,43))^2)</f>
        <v>58.30871118452199</v>
      </c>
      <c r="AU44" s="31">
        <f>SQRT((INDEX(US_x,29)-INDEX(US_x,44))^2+(INDEX(US_y,29)-INDEX(US_y,44))^2)</f>
        <v>49.93146603095087</v>
      </c>
      <c r="AV44" s="31">
        <f>SQRT((INDEX(US_x,29)-INDEX(US_x,45))^2+(INDEX(US_y,29)-INDEX(US_y,45))^2)</f>
        <v>37.03550863698243</v>
      </c>
      <c r="AW44" s="31">
        <f>SQRT((INDEX(US_x,29)-INDEX(US_x,46))^2+(INDEX(US_y,29)-INDEX(US_y,46))^2)</f>
        <v>42.639264768520576</v>
      </c>
      <c r="AX44" s="31">
        <f>SQRT((INDEX(US_x,29)-INDEX(US_x,47))^2+(INDEX(US_y,29)-INDEX(US_y,47))^2)</f>
        <v>32.08125309273315</v>
      </c>
      <c r="AY44" s="31">
        <f>SQRT((INDEX(US_x,29)-INDEX(US_x,48))^2+(INDEX(US_y,29)-INDEX(US_y,48))^2)</f>
        <v>11.959565209488181</v>
      </c>
      <c r="AZ44" s="31" t="s">
        <v>30</v>
      </c>
      <c r="BA44" s="34">
        <v>31.77</v>
      </c>
      <c r="BB44" s="34">
        <v>7.56</v>
      </c>
    </row>
    <row r="45" spans="3:54" ht="15" thickBot="1" thickTop="1">
      <c r="C45" s="26">
        <v>30</v>
      </c>
      <c r="D45" s="31">
        <f>SQRT((INDEX(US_x,30)-INDEX(US_x,1))^2+(INDEX(US_y,30)-INDEX(US_y,1))^2)</f>
        <v>31.1492102628622</v>
      </c>
      <c r="E45" s="31">
        <f>SQRT((INDEX(US_x,30)-INDEX(US_x,2))^2+(INDEX(US_y,30)-INDEX(US_y,2))^2)</f>
        <v>68.13088653466943</v>
      </c>
      <c r="F45" s="31">
        <f>SQRT((INDEX(US_x,30)-INDEX(US_x,3))^2+(INDEX(US_y,30)-INDEX(US_y,3))^2)</f>
        <v>35.80280435943531</v>
      </c>
      <c r="G45" s="31">
        <f>SQRT((INDEX(US_x,30)-INDEX(US_x,4))^2+(INDEX(US_y,30)-INDEX(US_y,4))^2)</f>
        <v>78.5802939673809</v>
      </c>
      <c r="H45" s="31">
        <f>SQRT((INDEX(US_x,30)-INDEX(US_x,5))^2+(INDEX(US_y,30)-INDEX(US_y,5))^2)</f>
        <v>51.404225507247936</v>
      </c>
      <c r="I45" s="31">
        <f>SQRT((INDEX(US_x,30)-INDEX(US_x,6))^2+(INDEX(US_y,30)-INDEX(US_y,6))^2)</f>
        <v>2.604611295375956</v>
      </c>
      <c r="J45" s="31">
        <f>SQRT((INDEX(US_x,30)-INDEX(US_x,7))^2+(INDEX(US_y,30)-INDEX(US_y,7))^2)</f>
        <v>8.20329811722091</v>
      </c>
      <c r="K45" s="31">
        <f>SQRT((INDEX(US_x,30)-INDEX(US_x,8))^2+(INDEX(US_y,30)-INDEX(US_y,8))^2)</f>
        <v>32.3916856616015</v>
      </c>
      <c r="L45" s="31">
        <f>SQRT((INDEX(US_x,30)-INDEX(US_x,9))^2+(INDEX(US_y,30)-INDEX(US_y,9))^2)</f>
        <v>26.600295111144913</v>
      </c>
      <c r="M45" s="31">
        <f>SQRT((INDEX(US_x,30)-INDEX(US_x,10))^2+(INDEX(US_y,30)-INDEX(US_y,10))^2)</f>
        <v>67.06299202988188</v>
      </c>
      <c r="N45" s="31">
        <f>SQRT((INDEX(US_x,30)-INDEX(US_x,11))^2+(INDEX(US_y,30)-INDEX(US_y,11))^2)</f>
        <v>26.757159789484383</v>
      </c>
      <c r="O45" s="31">
        <f>SQRT((INDEX(US_x,30)-INDEX(US_x,12))^2+(INDEX(US_y,30)-INDEX(US_y,12))^2)</f>
        <v>21.27077337569088</v>
      </c>
      <c r="P45" s="31">
        <f>SQRT((INDEX(US_x,30)-INDEX(US_x,13))^2+(INDEX(US_y,30)-INDEX(US_y,13))^2)</f>
        <v>32.18313222792337</v>
      </c>
      <c r="Q45" s="31">
        <f>SQRT((INDEX(US_x,30)-INDEX(US_x,14))^2+(INDEX(US_y,30)-INDEX(US_y,14))^2)</f>
        <v>36.8963968430523</v>
      </c>
      <c r="R45" s="31">
        <f>SQRT((INDEX(US_x,30)-INDEX(US_x,15))^2+(INDEX(US_y,30)-INDEX(US_y,15))^2)</f>
        <v>20.816709634329825</v>
      </c>
      <c r="S45" s="31">
        <f>SQRT((INDEX(US_x,30)-INDEX(US_x,16))^2+(INDEX(US_y,30)-INDEX(US_y,16))^2)</f>
        <v>40.3393034149079</v>
      </c>
      <c r="T45" s="31">
        <f>SQRT((INDEX(US_x,30)-INDEX(US_x,17))^2+(INDEX(US_y,30)-INDEX(US_y,17))^2)</f>
        <v>7.257857810676648</v>
      </c>
      <c r="U45" s="31">
        <f>SQRT((INDEX(US_x,30)-INDEX(US_x,18))^2+(INDEX(US_y,30)-INDEX(US_y,18))^2)</f>
        <v>9.225811617413402</v>
      </c>
      <c r="V45" s="31">
        <f>SQRT((INDEX(US_x,30)-INDEX(US_x,19))^2+(INDEX(US_y,30)-INDEX(US_y,19))^2)</f>
        <v>4.375945612093454</v>
      </c>
      <c r="W45" s="31">
        <f>SQRT((INDEX(US_x,30)-INDEX(US_x,20))^2+(INDEX(US_y,30)-INDEX(US_y,20))^2)</f>
        <v>17.324344143430075</v>
      </c>
      <c r="X45" s="31">
        <f>SQRT((INDEX(US_x,30)-INDEX(US_x,21))^2+(INDEX(US_y,30)-INDEX(US_y,21))^2)</f>
        <v>30.860865185538785</v>
      </c>
      <c r="Y45" s="31">
        <f>SQRT((INDEX(US_x,30)-INDEX(US_x,22))^2+(INDEX(US_y,30)-INDEX(US_y,22))^2)</f>
        <v>36.190906316366274</v>
      </c>
      <c r="Z45" s="31">
        <f>SQRT((INDEX(US_x,30)-INDEX(US_x,23))^2+(INDEX(US_y,30)-INDEX(US_y,23))^2)</f>
        <v>31.680254102516283</v>
      </c>
      <c r="AA45" s="31">
        <f>SQRT((INDEX(US_x,30)-INDEX(US_x,24))^2+(INDEX(US_y,30)-INDEX(US_y,24))^2)</f>
        <v>59.65464776528313</v>
      </c>
      <c r="AB45" s="31">
        <f>SQRT((INDEX(US_x,30)-INDEX(US_x,25))^2+(INDEX(US_y,30)-INDEX(US_y,25))^2)</f>
        <v>37.47249791513771</v>
      </c>
      <c r="AC45" s="31">
        <f>SQRT((INDEX(US_x,30)-INDEX(US_x,26))^2+(INDEX(US_y,30)-INDEX(US_y,26))^2)</f>
        <v>75.38721973915737</v>
      </c>
      <c r="AD45" s="31">
        <f>SQRT((INDEX(US_x,30)-INDEX(US_x,27))^2+(INDEX(US_y,30)-INDEX(US_y,27))^2)</f>
        <v>3.7306567786383105</v>
      </c>
      <c r="AE45" s="31">
        <f>SQRT((INDEX(US_x,30)-INDEX(US_x,28))^2+(INDEX(US_y,30)-INDEX(US_y,28))^2)</f>
        <v>5.579838707346298</v>
      </c>
      <c r="AF45" s="31">
        <f>SQRT((INDEX(US_x,30)-INDEX(US_x,29))^2+(INDEX(US_y,30)-INDEX(US_y,29))^2)</f>
        <v>56.118735730591794</v>
      </c>
      <c r="AG45" s="31" t="s">
        <v>30</v>
      </c>
      <c r="AH45" s="31">
        <f>SQRT((INDEX(US_x,30)-INDEX(US_x,31))^2+(INDEX(US_y,30)-INDEX(US_y,31))^2)</f>
        <v>17.158886910286462</v>
      </c>
      <c r="AI45" s="31">
        <f>SQRT((INDEX(US_x,30)-INDEX(US_x,32))^2+(INDEX(US_y,30)-INDEX(US_y,32))^2)</f>
        <v>42.79001051647452</v>
      </c>
      <c r="AJ45" s="31">
        <f>SQRT((INDEX(US_x,30)-INDEX(US_x,33))^2+(INDEX(US_y,30)-INDEX(US_y,33))^2)</f>
        <v>16.230727032391368</v>
      </c>
      <c r="AK45" s="31">
        <f>SQRT((INDEX(US_x,30)-INDEX(US_x,34))^2+(INDEX(US_y,30)-INDEX(US_y,34))^2)</f>
        <v>42.9795300113903</v>
      </c>
      <c r="AL45" s="31">
        <f>SQRT((INDEX(US_x,30)-INDEX(US_x,35))^2+(INDEX(US_y,30)-INDEX(US_y,35))^2)</f>
        <v>76.78433499093418</v>
      </c>
      <c r="AM45" s="31">
        <f>SQRT((INDEX(US_x,30)-INDEX(US_x,36))^2+(INDEX(US_y,30)-INDEX(US_y,36))^2)</f>
        <v>7.3440111655688565</v>
      </c>
      <c r="AN45" s="31">
        <f>SQRT((INDEX(US_x,30)-INDEX(US_x,37))^2+(INDEX(US_y,30)-INDEX(US_y,37))^2)</f>
        <v>4.195485669144881</v>
      </c>
      <c r="AO45" s="31">
        <f>SQRT((INDEX(US_x,30)-INDEX(US_x,38))^2+(INDEX(US_y,30)-INDEX(US_y,38))^2)</f>
        <v>22.623536416749705</v>
      </c>
      <c r="AP45" s="31">
        <f>SQRT((INDEX(US_x,30)-INDEX(US_x,39))^2+(INDEX(US_y,30)-INDEX(US_y,39))^2)</f>
        <v>42.15892906609464</v>
      </c>
      <c r="AQ45" s="31">
        <f>SQRT((INDEX(US_x,30)-INDEX(US_x,40))^2+(INDEX(US_y,30)-INDEX(US_y,40))^2)</f>
        <v>26.05801604113406</v>
      </c>
      <c r="AR45" s="31">
        <f>SQRT((INDEX(US_x,30)-INDEX(US_x,41))^2+(INDEX(US_y,30)-INDEX(US_y,41))^2)</f>
        <v>49.66351276339603</v>
      </c>
      <c r="AS45" s="31">
        <f>SQRT((INDEX(US_x,30)-INDEX(US_x,42))^2+(INDEX(US_y,30)-INDEX(US_y,42))^2)</f>
        <v>61.7867825671478</v>
      </c>
      <c r="AT45" s="33">
        <f>SQRT((INDEX(US_x,30)-INDEX(US_x,43))^2+(INDEX(US_y,30)-INDEX(US_y,43))^2)</f>
        <v>3.9954098663341155</v>
      </c>
      <c r="AU45" s="31">
        <f>SQRT((INDEX(US_x,30)-INDEX(US_x,44))^2+(INDEX(US_y,30)-INDEX(US_y,44))^2)</f>
        <v>12.766902521755231</v>
      </c>
      <c r="AV45" s="31">
        <f>SQRT((INDEX(US_x,30)-INDEX(US_x,45))^2+(INDEX(US_y,30)-INDEX(US_y,45))^2)</f>
        <v>75.66628311209689</v>
      </c>
      <c r="AW45" s="31">
        <f>SQRT((INDEX(US_x,30)-INDEX(US_x,46))^2+(INDEX(US_y,30)-INDEX(US_y,46))^2)</f>
        <v>16.081647925508136</v>
      </c>
      <c r="AX45" s="31">
        <f>SQRT((INDEX(US_x,30)-INDEX(US_x,47))^2+(INDEX(US_y,30)-INDEX(US_y,47))^2)</f>
        <v>25.006785079253987</v>
      </c>
      <c r="AY45" s="31">
        <f>SQRT((INDEX(US_x,30)-INDEX(US_x,48))^2+(INDEX(US_y,30)-INDEX(US_y,48))^2)</f>
        <v>50.31335508590139</v>
      </c>
      <c r="AZ45" s="31" t="s">
        <v>30</v>
      </c>
      <c r="BA45" s="34">
        <v>73.52</v>
      </c>
      <c r="BB45" s="34">
        <v>45.06</v>
      </c>
    </row>
    <row r="46" spans="3:54" ht="15" thickBot="1" thickTop="1">
      <c r="C46" s="26">
        <v>31</v>
      </c>
      <c r="D46" s="31">
        <f>SQRT((INDEX(US_x,31)-INDEX(US_x,1))^2+(INDEX(US_y,31)-INDEX(US_y,1))^2)</f>
        <v>15.731576526209954</v>
      </c>
      <c r="E46" s="31">
        <f>SQRT((INDEX(US_x,31)-INDEX(US_x,2))^2+(INDEX(US_y,31)-INDEX(US_y,2))^2)</f>
        <v>60.005853881100634</v>
      </c>
      <c r="F46" s="31">
        <f>SQRT((INDEX(US_x,31)-INDEX(US_x,3))^2+(INDEX(US_y,31)-INDEX(US_y,3))^2)</f>
        <v>24.405642790141798</v>
      </c>
      <c r="G46" s="31">
        <f>SQRT((INDEX(US_x,31)-INDEX(US_x,4))^2+(INDEX(US_y,31)-INDEX(US_y,4))^2)</f>
        <v>74.07991360686107</v>
      </c>
      <c r="H46" s="31">
        <f>SQRT((INDEX(US_x,31)-INDEX(US_x,5))^2+(INDEX(US_y,31)-INDEX(US_y,5))^2)</f>
        <v>46.105333747843105</v>
      </c>
      <c r="I46" s="31">
        <f>SQRT((INDEX(US_x,31)-INDEX(US_x,6))^2+(INDEX(US_y,31)-INDEX(US_y,6))^2)</f>
        <v>16.581972138439983</v>
      </c>
      <c r="J46" s="31">
        <f>SQRT((INDEX(US_x,31)-INDEX(US_x,7))^2+(INDEX(US_y,31)-INDEX(US_y,7))^2)</f>
        <v>9.154283150525764</v>
      </c>
      <c r="K46" s="31">
        <f>SQRT((INDEX(US_x,31)-INDEX(US_x,8))^2+(INDEX(US_y,31)-INDEX(US_y,8))^2)</f>
        <v>15.583609979719078</v>
      </c>
      <c r="L46" s="31">
        <f>SQRT((INDEX(US_x,31)-INDEX(US_x,9))^2+(INDEX(US_y,31)-INDEX(US_y,9))^2)</f>
        <v>11.21456642050864</v>
      </c>
      <c r="M46" s="31">
        <f>SQRT((INDEX(US_x,31)-INDEX(US_x,10))^2+(INDEX(US_y,31)-INDEX(US_y,10))^2)</f>
        <v>64.76804227394865</v>
      </c>
      <c r="N46" s="31">
        <f>SQRT((INDEX(US_x,31)-INDEX(US_x,11))^2+(INDEX(US_y,31)-INDEX(US_y,11))^2)</f>
        <v>20.861337445139995</v>
      </c>
      <c r="O46" s="31">
        <f>SQRT((INDEX(US_x,31)-INDEX(US_x,12))^2+(INDEX(US_y,31)-INDEX(US_y,12))^2)</f>
        <v>15.576649190374676</v>
      </c>
      <c r="P46" s="31">
        <f>SQRT((INDEX(US_x,31)-INDEX(US_x,13))^2+(INDEX(US_y,31)-INDEX(US_y,13))^2)</f>
        <v>28.41839193198658</v>
      </c>
      <c r="Q46" s="31">
        <f>SQRT((INDEX(US_x,31)-INDEX(US_x,14))^2+(INDEX(US_y,31)-INDEX(US_y,14))^2)</f>
        <v>30.313767499273336</v>
      </c>
      <c r="R46" s="31">
        <f>SQRT((INDEX(US_x,31)-INDEX(US_x,15))^2+(INDEX(US_y,31)-INDEX(US_y,15))^2)</f>
        <v>12.037973251340947</v>
      </c>
      <c r="S46" s="31">
        <f>SQRT((INDEX(US_x,31)-INDEX(US_x,16))^2+(INDEX(US_y,31)-INDEX(US_y,16))^2)</f>
        <v>25.716275002418218</v>
      </c>
      <c r="T46" s="31">
        <f>SQRT((INDEX(US_x,31)-INDEX(US_x,17))^2+(INDEX(US_y,31)-INDEX(US_y,17))^2)</f>
        <v>23.839137987771288</v>
      </c>
      <c r="U46" s="31">
        <f>SQRT((INDEX(US_x,31)-INDEX(US_x,18))^2+(INDEX(US_y,31)-INDEX(US_y,18))^2)</f>
        <v>7.933536411966605</v>
      </c>
      <c r="V46" s="31">
        <f>SQRT((INDEX(US_x,31)-INDEX(US_x,19))^2+(INDEX(US_y,31)-INDEX(US_y,19))^2)</f>
        <v>19.310756070128374</v>
      </c>
      <c r="W46" s="31">
        <f>SQRT((INDEX(US_x,31)-INDEX(US_x,20))^2+(INDEX(US_y,31)-INDEX(US_y,20))^2)</f>
        <v>18.120775369724115</v>
      </c>
      <c r="X46" s="31">
        <f>SQRT((INDEX(US_x,31)-INDEX(US_x,21))^2+(INDEX(US_y,31)-INDEX(US_y,21))^2)</f>
        <v>31.14236342990044</v>
      </c>
      <c r="Y46" s="31">
        <f>SQRT((INDEX(US_x,31)-INDEX(US_x,22))^2+(INDEX(US_y,31)-INDEX(US_y,22))^2)</f>
        <v>22.236494777729703</v>
      </c>
      <c r="Z46" s="31">
        <f>SQRT((INDEX(US_x,31)-INDEX(US_x,23))^2+(INDEX(US_y,31)-INDEX(US_y,23))^2)</f>
        <v>24.26288729726947</v>
      </c>
      <c r="AA46" s="31">
        <f>SQRT((INDEX(US_x,31)-INDEX(US_x,24))^2+(INDEX(US_y,31)-INDEX(US_y,24))^2)</f>
        <v>59.12005412717414</v>
      </c>
      <c r="AB46" s="31">
        <f>SQRT((INDEX(US_x,31)-INDEX(US_x,25))^2+(INDEX(US_y,31)-INDEX(US_y,25))^2)</f>
        <v>32.73237693782717</v>
      </c>
      <c r="AC46" s="31">
        <f>SQRT((INDEX(US_x,31)-INDEX(US_x,26))^2+(INDEX(US_y,31)-INDEX(US_y,26))^2)</f>
        <v>71.0062849330959</v>
      </c>
      <c r="AD46" s="31">
        <f>SQRT((INDEX(US_x,31)-INDEX(US_x,27))^2+(INDEX(US_y,31)-INDEX(US_y,27))^2)</f>
        <v>20.18024776854833</v>
      </c>
      <c r="AE46" s="31">
        <f>SQRT((INDEX(US_x,31)-INDEX(US_x,28))^2+(INDEX(US_y,31)-INDEX(US_y,28))^2)</f>
        <v>11.800067796415409</v>
      </c>
      <c r="AF46" s="31">
        <f>SQRT((INDEX(US_x,31)-INDEX(US_x,29))^2+(INDEX(US_y,31)-INDEX(US_y,29))^2)</f>
        <v>48.230124403737555</v>
      </c>
      <c r="AG46" s="31">
        <f>SQRT((INDEX(US_x,31)-INDEX(US_x,30))^2+(INDEX(US_y,31)-INDEX(US_y,30))^2)</f>
        <v>17.158886910286462</v>
      </c>
      <c r="AH46" s="31" t="s">
        <v>30</v>
      </c>
      <c r="AI46" s="31">
        <f>SQRT((INDEX(US_x,31)-INDEX(US_x,32))^2+(INDEX(US_y,31)-INDEX(US_y,32))^2)</f>
        <v>43.294359909808115</v>
      </c>
      <c r="AJ46" s="31">
        <f>SQRT((INDEX(US_x,31)-INDEX(US_x,33))^2+(INDEX(US_y,31)-INDEX(US_y,33))^2)</f>
        <v>11.792137210870637</v>
      </c>
      <c r="AK46" s="31">
        <f>SQRT((INDEX(US_x,31)-INDEX(US_x,34))^2+(INDEX(US_y,31)-INDEX(US_y,34))^2)</f>
        <v>33.45979378298677</v>
      </c>
      <c r="AL46" s="31">
        <f>SQRT((INDEX(US_x,31)-INDEX(US_x,35))^2+(INDEX(US_y,31)-INDEX(US_y,35))^2)</f>
        <v>75.44713977348644</v>
      </c>
      <c r="AM46" s="31">
        <f>SQRT((INDEX(US_x,31)-INDEX(US_x,36))^2+(INDEX(US_y,31)-INDEX(US_y,36))^2)</f>
        <v>10.221022453746981</v>
      </c>
      <c r="AN46" s="31">
        <f>SQRT((INDEX(US_x,31)-INDEX(US_x,37))^2+(INDEX(US_y,31)-INDEX(US_y,37))^2)</f>
        <v>18.070763680597455</v>
      </c>
      <c r="AO46" s="33">
        <f>SQRT((INDEX(US_x,31)-INDEX(US_x,38))^2+(INDEX(US_y,31)-INDEX(US_y,38))^2)</f>
        <v>5.7763137033925025</v>
      </c>
      <c r="AP46" s="31">
        <f>SQRT((INDEX(US_x,31)-INDEX(US_x,39))^2+(INDEX(US_y,31)-INDEX(US_y,39))^2)</f>
        <v>40.61096526801598</v>
      </c>
      <c r="AQ46" s="31">
        <f>SQRT((INDEX(US_x,31)-INDEX(US_x,40))^2+(INDEX(US_y,31)-INDEX(US_y,40))^2)</f>
        <v>14.375785195946692</v>
      </c>
      <c r="AR46" s="31">
        <f>SQRT((INDEX(US_x,31)-INDEX(US_x,41))^2+(INDEX(US_y,31)-INDEX(US_y,41))^2)</f>
        <v>36.92495226808019</v>
      </c>
      <c r="AS46" s="31">
        <f>SQRT((INDEX(US_x,31)-INDEX(US_x,42))^2+(INDEX(US_y,31)-INDEX(US_y,42))^2)</f>
        <v>57.62244788274792</v>
      </c>
      <c r="AT46" s="31">
        <f>SQRT((INDEX(US_x,31)-INDEX(US_x,43))^2+(INDEX(US_y,31)-INDEX(US_y,43))^2)</f>
        <v>21.146699506069503</v>
      </c>
      <c r="AU46" s="31">
        <f>SQRT((INDEX(US_x,31)-INDEX(US_x,44))^2+(INDEX(US_y,31)-INDEX(US_y,44))^2)</f>
        <v>4.394769618535196</v>
      </c>
      <c r="AV46" s="31">
        <f>SQRT((INDEX(US_x,31)-INDEX(US_x,45))^2+(INDEX(US_y,31)-INDEX(US_y,45))^2)</f>
        <v>75.36036756810573</v>
      </c>
      <c r="AW46" s="31">
        <f>SQRT((INDEX(US_x,31)-INDEX(US_x,46))^2+(INDEX(US_y,31)-INDEX(US_y,46))^2)</f>
        <v>7.625667183925622</v>
      </c>
      <c r="AX46" s="31">
        <f>SQRT((INDEX(US_x,31)-INDEX(US_x,47))^2+(INDEX(US_y,31)-INDEX(US_y,47))^2)</f>
        <v>24.03840468916355</v>
      </c>
      <c r="AY46" s="31">
        <f>SQRT((INDEX(US_x,31)-INDEX(US_x,48))^2+(INDEX(US_y,31)-INDEX(US_y,48))^2)</f>
        <v>46.028648687529376</v>
      </c>
      <c r="AZ46" s="31" t="s">
        <v>30</v>
      </c>
      <c r="BA46" s="34">
        <v>75.45</v>
      </c>
      <c r="BB46" s="34">
        <v>28.01</v>
      </c>
    </row>
    <row r="47" spans="3:54" ht="15" thickBot="1" thickTop="1">
      <c r="C47" s="26">
        <v>32</v>
      </c>
      <c r="D47" s="31">
        <f>SQRT((INDEX(US_x,32)-INDEX(US_x,1))^2+(INDEX(US_y,32)-INDEX(US_y,1))^2)</f>
        <v>39.50066455137179</v>
      </c>
      <c r="E47" s="31">
        <f>SQRT((INDEX(US_x,32)-INDEX(US_x,2))^2+(INDEX(US_y,32)-INDEX(US_y,2))^2)</f>
        <v>34.46907164401153</v>
      </c>
      <c r="F47" s="31">
        <f>SQRT((INDEX(US_x,32)-INDEX(US_x,3))^2+(INDEX(US_y,32)-INDEX(US_y,3))^2)</f>
        <v>29.596259898845318</v>
      </c>
      <c r="G47" s="31">
        <f>SQRT((INDEX(US_x,32)-INDEX(US_x,4))^2+(INDEX(US_y,32)-INDEX(US_y,4))^2)</f>
        <v>37.62928646679339</v>
      </c>
      <c r="H47" s="31">
        <f>SQRT((INDEX(US_x,32)-INDEX(US_x,5))^2+(INDEX(US_y,32)-INDEX(US_y,5))^2)</f>
        <v>16.689787296427713</v>
      </c>
      <c r="I47" s="31">
        <f>SQRT((INDEX(US_x,32)-INDEX(US_x,6))^2+(INDEX(US_y,32)-INDEX(US_y,6))^2)</f>
        <v>45.12779409632161</v>
      </c>
      <c r="J47" s="31">
        <f>SQRT((INDEX(US_x,32)-INDEX(US_x,7))^2+(INDEX(US_y,32)-INDEX(US_y,7))^2)</f>
        <v>43.47471103986776</v>
      </c>
      <c r="K47" s="31">
        <f>SQRT((INDEX(US_x,32)-INDEX(US_x,8))^2+(INDEX(US_y,32)-INDEX(US_y,8))^2)</f>
        <v>45.066361068983596</v>
      </c>
      <c r="L47" s="31">
        <f>SQRT((INDEX(US_x,32)-INDEX(US_x,9))^2+(INDEX(US_y,32)-INDEX(US_y,9))^2)</f>
        <v>39.192867973650515</v>
      </c>
      <c r="M47" s="31">
        <f>SQRT((INDEX(US_x,32)-INDEX(US_x,10))^2+(INDEX(US_y,32)-INDEX(US_y,10))^2)</f>
        <v>24.75323211219093</v>
      </c>
      <c r="N47" s="31">
        <f>SQRT((INDEX(US_x,32)-INDEX(US_x,11))^2+(INDEX(US_y,32)-INDEX(US_y,11))^2)</f>
        <v>23.303068467478692</v>
      </c>
      <c r="O47" s="31">
        <f>SQRT((INDEX(US_x,32)-INDEX(US_x,12))^2+(INDEX(US_y,32)-INDEX(US_y,12))^2)</f>
        <v>27.777976888175274</v>
      </c>
      <c r="P47" s="31">
        <f>SQRT((INDEX(US_x,32)-INDEX(US_x,13))^2+(INDEX(US_y,32)-INDEX(US_y,13))^2)</f>
        <v>15.914402282209657</v>
      </c>
      <c r="Q47" s="31">
        <f>SQRT((INDEX(US_x,32)-INDEX(US_x,14))^2+(INDEX(US_y,32)-INDEX(US_y,14))^2)</f>
        <v>18.659016587162352</v>
      </c>
      <c r="R47" s="31">
        <f>SQRT((INDEX(US_x,32)-INDEX(US_x,15))^2+(INDEX(US_y,32)-INDEX(US_y,15))^2)</f>
        <v>31.637458810719924</v>
      </c>
      <c r="S47" s="31">
        <f>SQRT((INDEX(US_x,32)-INDEX(US_x,16))^2+(INDEX(US_y,32)-INDEX(US_y,16))^2)</f>
        <v>38.909561806836116</v>
      </c>
      <c r="T47" s="31">
        <f>SQRT((INDEX(US_x,32)-INDEX(US_x,17))^2+(INDEX(US_y,32)-INDEX(US_y,17))^2)</f>
        <v>47.531670494523965</v>
      </c>
      <c r="U47" s="31">
        <f>SQRT((INDEX(US_x,32)-INDEX(US_x,18))^2+(INDEX(US_y,32)-INDEX(US_y,18))^2)</f>
        <v>42.26619689539148</v>
      </c>
      <c r="V47" s="31">
        <f>SQRT((INDEX(US_x,32)-INDEX(US_x,19))^2+(INDEX(US_y,32)-INDEX(US_y,19))^2)</f>
        <v>47.05729805248065</v>
      </c>
      <c r="W47" s="31">
        <f>SQRT((INDEX(US_x,32)-INDEX(US_x,20))^2+(INDEX(US_y,32)-INDEX(US_y,20))^2)</f>
        <v>26.67313442398549</v>
      </c>
      <c r="X47" s="31">
        <f>SQRT((INDEX(US_x,32)-INDEX(US_x,21))^2+(INDEX(US_y,32)-INDEX(US_y,21))^2)</f>
        <v>12.396531773040389</v>
      </c>
      <c r="Y47" s="31">
        <f>SQRT((INDEX(US_x,32)-INDEX(US_x,22))^2+(INDEX(US_y,32)-INDEX(US_y,22))^2)</f>
        <v>36.020495554614456</v>
      </c>
      <c r="Z47" s="31">
        <f>SQRT((INDEX(US_x,32)-INDEX(US_x,23))^2+(INDEX(US_y,32)-INDEX(US_y,23))^2)</f>
        <v>22.537180391521915</v>
      </c>
      <c r="AA47" s="31">
        <f>SQRT((INDEX(US_x,32)-INDEX(US_x,24))^2+(INDEX(US_y,32)-INDEX(US_y,24))^2)</f>
        <v>16.865823430831952</v>
      </c>
      <c r="AB47" s="31">
        <f>SQRT((INDEX(US_x,32)-INDEX(US_x,25))^2+(INDEX(US_y,32)-INDEX(US_y,25))^2)</f>
        <v>14.471119514398323</v>
      </c>
      <c r="AC47" s="31">
        <f>SQRT((INDEX(US_x,32)-INDEX(US_x,26))^2+(INDEX(US_y,32)-INDEX(US_y,26))^2)</f>
        <v>34.48231575750097</v>
      </c>
      <c r="AD47" s="31">
        <f>SQRT((INDEX(US_x,32)-INDEX(US_x,27))^2+(INDEX(US_y,32)-INDEX(US_y,27))^2)</f>
        <v>45.68183008593241</v>
      </c>
      <c r="AE47" s="31">
        <f>SQRT((INDEX(US_x,32)-INDEX(US_x,28))^2+(INDEX(US_y,32)-INDEX(US_y,28))^2)</f>
        <v>43.48861000308011</v>
      </c>
      <c r="AF47" s="31">
        <f>SQRT((INDEX(US_x,32)-INDEX(US_x,29))^2+(INDEX(US_y,32)-INDEX(US_y,29))^2)</f>
        <v>25.499068610441437</v>
      </c>
      <c r="AG47" s="31">
        <f>SQRT((INDEX(US_x,32)-INDEX(US_x,30))^2+(INDEX(US_y,32)-INDEX(US_y,30))^2)</f>
        <v>42.79001051647452</v>
      </c>
      <c r="AH47" s="31">
        <f>SQRT((INDEX(US_x,32)-INDEX(US_x,31))^2+(INDEX(US_y,32)-INDEX(US_y,31))^2)</f>
        <v>43.294359909808115</v>
      </c>
      <c r="AI47" s="31" t="s">
        <v>30</v>
      </c>
      <c r="AJ47" s="31">
        <f>SQRT((INDEX(US_x,32)-INDEX(US_x,33))^2+(INDEX(US_y,32)-INDEX(US_y,33))^2)</f>
        <v>31.83737583407276</v>
      </c>
      <c r="AK47" s="31">
        <f>SQRT((INDEX(US_x,32)-INDEX(US_x,34))^2+(INDEX(US_y,32)-INDEX(US_y,34))^2)</f>
        <v>25.094258307429605</v>
      </c>
      <c r="AL47" s="31">
        <f>SQRT((INDEX(US_x,32)-INDEX(US_x,35))^2+(INDEX(US_y,32)-INDEX(US_y,35))^2)</f>
        <v>34.0105939377718</v>
      </c>
      <c r="AM47" s="31">
        <f>SQRT((INDEX(US_x,32)-INDEX(US_x,36))^2+(INDEX(US_y,32)-INDEX(US_y,36))^2)</f>
        <v>40.309657651734035</v>
      </c>
      <c r="AN47" s="31">
        <f>SQRT((INDEX(US_x,32)-INDEX(US_x,37))^2+(INDEX(US_y,32)-INDEX(US_y,37))^2)</f>
        <v>46.97593958613282</v>
      </c>
      <c r="AO47" s="31">
        <f>SQRT((INDEX(US_x,32)-INDEX(US_x,38))^2+(INDEX(US_y,32)-INDEX(US_y,38))^2)</f>
        <v>42.80575895834578</v>
      </c>
      <c r="AP47" s="33">
        <f>SQRT((INDEX(US_x,32)-INDEX(US_x,39))^2+(INDEX(US_y,32)-INDEX(US_y,39))^2)</f>
        <v>5.326321432283259</v>
      </c>
      <c r="AQ47" s="31">
        <f>SQRT((INDEX(US_x,32)-INDEX(US_x,40))^2+(INDEX(US_y,32)-INDEX(US_y,40))^2)</f>
        <v>32.44314411397268</v>
      </c>
      <c r="AR47" s="31">
        <f>SQRT((INDEX(US_x,32)-INDEX(US_x,41))^2+(INDEX(US_y,32)-INDEX(US_y,41))^2)</f>
        <v>36.117620353506126</v>
      </c>
      <c r="AS47" s="31">
        <f>SQRT((INDEX(US_x,32)-INDEX(US_x,42))^2+(INDEX(US_y,32)-INDEX(US_y,42))^2)</f>
        <v>21.863067030954284</v>
      </c>
      <c r="AT47" s="31">
        <f>SQRT((INDEX(US_x,32)-INDEX(US_x,43))^2+(INDEX(US_y,32)-INDEX(US_y,43))^2)</f>
        <v>43.3843992697836</v>
      </c>
      <c r="AU47" s="31">
        <f>SQRT((INDEX(US_x,32)-INDEX(US_x,44))^2+(INDEX(US_y,32)-INDEX(US_y,44))^2)</f>
        <v>42.64510757402307</v>
      </c>
      <c r="AV47" s="31">
        <f>SQRT((INDEX(US_x,32)-INDEX(US_x,45))^2+(INDEX(US_y,32)-INDEX(US_y,45))^2)</f>
        <v>32.955828012659616</v>
      </c>
      <c r="AW47" s="31">
        <f>SQRT((INDEX(US_x,32)-INDEX(US_x,46))^2+(INDEX(US_y,32)-INDEX(US_y,46))^2)</f>
        <v>35.75638124866664</v>
      </c>
      <c r="AX47" s="31">
        <f>SQRT((INDEX(US_x,32)-INDEX(US_x,47))^2+(INDEX(US_y,32)-INDEX(US_y,47))^2)</f>
        <v>19.405692463810713</v>
      </c>
      <c r="AY47" s="31">
        <f>SQRT((INDEX(US_x,32)-INDEX(US_x,48))^2+(INDEX(US_y,32)-INDEX(US_y,48))^2)</f>
        <v>13.809608973464814</v>
      </c>
      <c r="AZ47" s="31" t="s">
        <v>30</v>
      </c>
      <c r="BA47" s="34">
        <v>32.45</v>
      </c>
      <c r="BB47" s="34">
        <v>33.05</v>
      </c>
    </row>
    <row r="48" spans="3:54" ht="15" thickBot="1" thickTop="1">
      <c r="C48" s="26">
        <v>33</v>
      </c>
      <c r="D48" s="31">
        <f>SQRT((INDEX(US_x,33)-INDEX(US_x,1))^2+(INDEX(US_y,33)-INDEX(US_y,1))^2)</f>
        <v>17.473591502607587</v>
      </c>
      <c r="E48" s="31">
        <f>SQRT((INDEX(US_x,33)-INDEX(US_x,2))^2+(INDEX(US_y,33)-INDEX(US_y,2))^2)</f>
        <v>52.52220292409678</v>
      </c>
      <c r="F48" s="31">
        <f>SQRT((INDEX(US_x,33)-INDEX(US_x,3))^2+(INDEX(US_y,33)-INDEX(US_y,3))^2)</f>
        <v>19.651506303589052</v>
      </c>
      <c r="G48" s="31">
        <f>SQRT((INDEX(US_x,33)-INDEX(US_x,4))^2+(INDEX(US_y,33)-INDEX(US_y,4))^2)</f>
        <v>64.60561043748446</v>
      </c>
      <c r="H48" s="31">
        <f>SQRT((INDEX(US_x,33)-INDEX(US_x,5))^2+(INDEX(US_y,33)-INDEX(US_y,5))^2)</f>
        <v>36.769793309182475</v>
      </c>
      <c r="I48" s="31">
        <f>SQRT((INDEX(US_x,33)-INDEX(US_x,6))^2+(INDEX(US_y,33)-INDEX(US_y,6))^2)</f>
        <v>17.459521757482356</v>
      </c>
      <c r="J48" s="31">
        <f>SQRT((INDEX(US_x,33)-INDEX(US_x,7))^2+(INDEX(US_y,33)-INDEX(US_y,7))^2)</f>
        <v>12.690382184946202</v>
      </c>
      <c r="K48" s="31">
        <f>SQRT((INDEX(US_x,33)-INDEX(US_x,8))^2+(INDEX(US_y,33)-INDEX(US_y,8))^2)</f>
        <v>20.81572962929717</v>
      </c>
      <c r="L48" s="31">
        <f>SQRT((INDEX(US_x,33)-INDEX(US_x,9))^2+(INDEX(US_y,33)-INDEX(US_y,9))^2)</f>
        <v>13.717609121126026</v>
      </c>
      <c r="M48" s="31">
        <f>SQRT((INDEX(US_x,33)-INDEX(US_x,10))^2+(INDEX(US_y,33)-INDEX(US_y,10))^2)</f>
        <v>54.315717798810326</v>
      </c>
      <c r="N48" s="31">
        <f>SQRT((INDEX(US_x,33)-INDEX(US_x,11))^2+(INDEX(US_y,33)-INDEX(US_y,11))^2)</f>
        <v>11.132174091344428</v>
      </c>
      <c r="O48" s="31">
        <f>SQRT((INDEX(US_x,33)-INDEX(US_x,12))^2+(INDEX(US_y,33)-INDEX(US_y,12))^2)</f>
        <v>5.300650903426865</v>
      </c>
      <c r="P48" s="31">
        <f>SQRT((INDEX(US_x,33)-INDEX(US_x,13))^2+(INDEX(US_y,33)-INDEX(US_y,13))^2)</f>
        <v>17.909218296731996</v>
      </c>
      <c r="Q48" s="31">
        <f>SQRT((INDEX(US_x,33)-INDEX(US_x,14))^2+(INDEX(US_y,33)-INDEX(US_y,14))^2)</f>
        <v>21.414107499496687</v>
      </c>
      <c r="R48" s="31">
        <f>SQRT((INDEX(US_x,33)-INDEX(US_x,15))^2+(INDEX(US_y,33)-INDEX(US_y,15))^2)</f>
        <v>4.963275128380456</v>
      </c>
      <c r="S48" s="31">
        <f>SQRT((INDEX(US_x,33)-INDEX(US_x,16))^2+(INDEX(US_y,33)-INDEX(US_y,16))^2)</f>
        <v>25.24237904794237</v>
      </c>
      <c r="T48" s="31">
        <f>SQRT((INDEX(US_x,33)-INDEX(US_x,17))^2+(INDEX(US_y,33)-INDEX(US_y,17))^2)</f>
        <v>23.34169231225534</v>
      </c>
      <c r="U48" s="31">
        <f>SQRT((INDEX(US_x,33)-INDEX(US_x,18))^2+(INDEX(US_y,33)-INDEX(US_y,18))^2)</f>
        <v>11.16774372915138</v>
      </c>
      <c r="V48" s="31">
        <f>SQRT((INDEX(US_x,33)-INDEX(US_x,19))^2+(INDEX(US_y,33)-INDEX(US_y,19))^2)</f>
        <v>20.26853719438084</v>
      </c>
      <c r="W48" s="31">
        <f>SQRT((INDEX(US_x,33)-INDEX(US_x,20))^2+(INDEX(US_y,33)-INDEX(US_y,20))^2)</f>
        <v>6.536206851071961</v>
      </c>
      <c r="X48" s="31">
        <f>SQRT((INDEX(US_x,33)-INDEX(US_x,21))^2+(INDEX(US_y,33)-INDEX(US_y,21))^2)</f>
        <v>19.528607221202446</v>
      </c>
      <c r="Y48" s="31">
        <f>SQRT((INDEX(US_x,33)-INDEX(US_x,22))^2+(INDEX(US_y,33)-INDEX(US_y,22))^2)</f>
        <v>20.88442960676686</v>
      </c>
      <c r="Z48" s="31">
        <f>SQRT((INDEX(US_x,33)-INDEX(US_x,23))^2+(INDEX(US_y,33)-INDEX(US_y,23))^2)</f>
        <v>15.77215901517608</v>
      </c>
      <c r="AA48" s="31">
        <f>SQRT((INDEX(US_x,33)-INDEX(US_x,24))^2+(INDEX(US_y,33)-INDEX(US_y,24))^2)</f>
        <v>48.06801951401785</v>
      </c>
      <c r="AB48" s="31">
        <f>SQRT((INDEX(US_x,33)-INDEX(US_x,25))^2+(INDEX(US_y,33)-INDEX(US_y,25))^2)</f>
        <v>22.834977556371722</v>
      </c>
      <c r="AC48" s="31">
        <f>SQRT((INDEX(US_x,33)-INDEX(US_x,26))^2+(INDEX(US_y,33)-INDEX(US_y,26))^2)</f>
        <v>61.457212758145815</v>
      </c>
      <c r="AD48" s="31">
        <f>SQRT((INDEX(US_x,33)-INDEX(US_x,27))^2+(INDEX(US_y,33)-INDEX(US_y,27))^2)</f>
        <v>19.959852203861622</v>
      </c>
      <c r="AE48" s="31">
        <f>SQRT((INDEX(US_x,33)-INDEX(US_x,28))^2+(INDEX(US_y,33)-INDEX(US_y,28))^2)</f>
        <v>13.769854755951489</v>
      </c>
      <c r="AF48" s="31">
        <f>SQRT((INDEX(US_x,33)-INDEX(US_x,29))^2+(INDEX(US_y,33)-INDEX(US_y,29))^2)</f>
        <v>40.49430824202336</v>
      </c>
      <c r="AG48" s="31">
        <f>SQRT((INDEX(US_x,33)-INDEX(US_x,30))^2+(INDEX(US_y,33)-INDEX(US_y,30))^2)</f>
        <v>16.230727032391368</v>
      </c>
      <c r="AH48" s="31">
        <f>SQRT((INDEX(US_x,33)-INDEX(US_x,31))^2+(INDEX(US_y,33)-INDEX(US_y,31))^2)</f>
        <v>11.792137210870637</v>
      </c>
      <c r="AI48" s="31">
        <f>SQRT((INDEX(US_x,33)-INDEX(US_x,32))^2+(INDEX(US_y,33)-INDEX(US_y,32))^2)</f>
        <v>31.83737583407276</v>
      </c>
      <c r="AJ48" s="31" t="s">
        <v>30</v>
      </c>
      <c r="AK48" s="31">
        <f>SQRT((INDEX(US_x,33)-INDEX(US_x,34))^2+(INDEX(US_y,33)-INDEX(US_y,34))^2)</f>
        <v>26.84352622141883</v>
      </c>
      <c r="AL48" s="31">
        <f>SQRT((INDEX(US_x,33)-INDEX(US_x,35))^2+(INDEX(US_y,33)-INDEX(US_y,35))^2)</f>
        <v>64.74122179878906</v>
      </c>
      <c r="AM48" s="31">
        <f>SQRT((INDEX(US_x,33)-INDEX(US_x,36))^2+(INDEX(US_y,33)-INDEX(US_y,36))^2)</f>
        <v>10.212345470067097</v>
      </c>
      <c r="AN48" s="31">
        <f>SQRT((INDEX(US_x,33)-INDEX(US_x,37))^2+(INDEX(US_y,33)-INDEX(US_y,37))^2)</f>
        <v>19.51148379800983</v>
      </c>
      <c r="AO48" s="31">
        <f>SQRT((INDEX(US_x,33)-INDEX(US_x,38))^2+(INDEX(US_y,33)-INDEX(US_y,38))^2)</f>
        <v>13.402227426812303</v>
      </c>
      <c r="AP48" s="31">
        <f>SQRT((INDEX(US_x,33)-INDEX(US_x,39))^2+(INDEX(US_y,33)-INDEX(US_y,39))^2)</f>
        <v>29.62043213729334</v>
      </c>
      <c r="AQ48" s="31">
        <f>SQRT((INDEX(US_x,33)-INDEX(US_x,40))^2+(INDEX(US_y,33)-INDEX(US_y,40))^2)</f>
        <v>10.495089327871392</v>
      </c>
      <c r="AR48" s="31">
        <f>SQRT((INDEX(US_x,33)-INDEX(US_x,41))^2+(INDEX(US_y,33)-INDEX(US_y,41))^2)</f>
        <v>33.579115533319225</v>
      </c>
      <c r="AS48" s="31">
        <f>SQRT((INDEX(US_x,33)-INDEX(US_x,42))^2+(INDEX(US_y,33)-INDEX(US_y,42))^2)</f>
        <v>47.86743778394662</v>
      </c>
      <c r="AT48" s="31">
        <f>SQRT((INDEX(US_x,33)-INDEX(US_x,43))^2+(INDEX(US_y,33)-INDEX(US_y,43))^2)</f>
        <v>19.25718567184727</v>
      </c>
      <c r="AU48" s="31">
        <f>SQRT((INDEX(US_x,33)-INDEX(US_x,44))^2+(INDEX(US_y,33)-INDEX(US_y,44))^2)</f>
        <v>10.850092165507165</v>
      </c>
      <c r="AV48" s="31">
        <f>SQRT((INDEX(US_x,33)-INDEX(US_x,45))^2+(INDEX(US_y,33)-INDEX(US_y,45))^2)</f>
        <v>64.35220664437236</v>
      </c>
      <c r="AW48" s="33">
        <f>SQRT((INDEX(US_x,33)-INDEX(US_x,46))^2+(INDEX(US_y,33)-INDEX(US_y,46))^2)</f>
        <v>4.213798761212964</v>
      </c>
      <c r="AX48" s="31">
        <f>SQRT((INDEX(US_x,33)-INDEX(US_x,47))^2+(INDEX(US_y,33)-INDEX(US_y,47))^2)</f>
        <v>12.439075528350171</v>
      </c>
      <c r="AY48" s="31">
        <f>SQRT((INDEX(US_x,33)-INDEX(US_x,48))^2+(INDEX(US_y,33)-INDEX(US_y,48))^2)</f>
        <v>36.18807814736782</v>
      </c>
      <c r="AZ48" s="31" t="s">
        <v>30</v>
      </c>
      <c r="BA48" s="34">
        <v>64.26</v>
      </c>
      <c r="BB48" s="34">
        <v>31.73</v>
      </c>
    </row>
    <row r="49" spans="3:54" ht="15" thickBot="1" thickTop="1">
      <c r="C49" s="26">
        <v>34</v>
      </c>
      <c r="D49" s="31">
        <f>SQRT((INDEX(US_x,34)-INDEX(US_x,1))^2+(INDEX(US_y,34)-INDEX(US_y,1))^2)</f>
        <v>21.41238193195704</v>
      </c>
      <c r="E49" s="31">
        <f>SQRT((INDEX(US_x,34)-INDEX(US_x,2))^2+(INDEX(US_y,34)-INDEX(US_y,2))^2)</f>
        <v>26.555543677356713</v>
      </c>
      <c r="F49" s="33">
        <f>SQRT((INDEX(US_x,34)-INDEX(US_x,3))^2+(INDEX(US_y,34)-INDEX(US_y,3))^2)</f>
        <v>9.492944748601458</v>
      </c>
      <c r="G49" s="31">
        <f>SQRT((INDEX(US_x,34)-INDEX(US_x,4))^2+(INDEX(US_y,34)-INDEX(US_y,4))^2)</f>
        <v>42.22120083559917</v>
      </c>
      <c r="H49" s="31">
        <f>SQRT((INDEX(US_x,34)-INDEX(US_x,5))^2+(INDEX(US_y,34)-INDEX(US_y,5))^2)</f>
        <v>15.898402435465016</v>
      </c>
      <c r="I49" s="31">
        <f>SQRT((INDEX(US_x,34)-INDEX(US_x,6))^2+(INDEX(US_y,34)-INDEX(US_y,6))^2)</f>
        <v>44.30304729925471</v>
      </c>
      <c r="J49" s="31">
        <f>SQRT((INDEX(US_x,34)-INDEX(US_x,7))^2+(INDEX(US_y,34)-INDEX(US_y,7))^2)</f>
        <v>38.899291767331704</v>
      </c>
      <c r="K49" s="31">
        <f>SQRT((INDEX(US_x,34)-INDEX(US_x,8))^2+(INDEX(US_y,34)-INDEX(US_y,8))^2)</f>
        <v>26.57921932638354</v>
      </c>
      <c r="L49" s="31">
        <f>SQRT((INDEX(US_x,34)-INDEX(US_x,9))^2+(INDEX(US_y,34)-INDEX(US_y,9))^2)</f>
        <v>23.908301905405168</v>
      </c>
      <c r="M49" s="31">
        <f>SQRT((INDEX(US_x,34)-INDEX(US_x,10))^2+(INDEX(US_y,34)-INDEX(US_y,10))^2)</f>
        <v>35.980851852061534</v>
      </c>
      <c r="N49" s="31">
        <f>SQRT((INDEX(US_x,34)-INDEX(US_x,11))^2+(INDEX(US_y,34)-INDEX(US_y,11))^2)</f>
        <v>16.49867873497754</v>
      </c>
      <c r="O49" s="31">
        <f>SQRT((INDEX(US_x,34)-INDEX(US_x,12))^2+(INDEX(US_y,34)-INDEX(US_y,12))^2)</f>
        <v>21.7089520705169</v>
      </c>
      <c r="P49" s="31">
        <f>SQRT((INDEX(US_x,34)-INDEX(US_x,13))^2+(INDEX(US_y,34)-INDEX(US_y,13))^2)</f>
        <v>14.792498098698541</v>
      </c>
      <c r="Q49" s="31">
        <f>SQRT((INDEX(US_x,34)-INDEX(US_x,14))^2+(INDEX(US_y,34)-INDEX(US_y,14))^2)</f>
        <v>8.370095578904701</v>
      </c>
      <c r="R49" s="31">
        <f>SQRT((INDEX(US_x,34)-INDEX(US_x,15))^2+(INDEX(US_y,34)-INDEX(US_y,15))^2)</f>
        <v>22.867763336190094</v>
      </c>
      <c r="S49" s="31">
        <f>SQRT((INDEX(US_x,34)-INDEX(US_x,16))^2+(INDEX(US_y,34)-INDEX(US_y,16))^2)</f>
        <v>15.89604353290466</v>
      </c>
      <c r="T49" s="31">
        <f>SQRT((INDEX(US_x,34)-INDEX(US_x,17))^2+(INDEX(US_y,34)-INDEX(US_y,17))^2)</f>
        <v>49.90611685955941</v>
      </c>
      <c r="U49" s="31">
        <f>SQRT((INDEX(US_x,34)-INDEX(US_x,18))^2+(INDEX(US_y,34)-INDEX(US_y,18))^2)</f>
        <v>37.23839416516239</v>
      </c>
      <c r="V49" s="31">
        <f>SQRT((INDEX(US_x,34)-INDEX(US_x,19))^2+(INDEX(US_y,34)-INDEX(US_y,19))^2)</f>
        <v>47.10095646587232</v>
      </c>
      <c r="W49" s="31">
        <f>SQRT((INDEX(US_x,34)-INDEX(US_x,20))^2+(INDEX(US_y,34)-INDEX(US_y,20))^2)</f>
        <v>26.931455586358492</v>
      </c>
      <c r="X49" s="31">
        <f>SQRT((INDEX(US_x,34)-INDEX(US_x,21))^2+(INDEX(US_y,34)-INDEX(US_y,21))^2)</f>
        <v>21.745955945876464</v>
      </c>
      <c r="Y49" s="31">
        <f>SQRT((INDEX(US_x,34)-INDEX(US_x,22))^2+(INDEX(US_y,34)-INDEX(US_y,22))^2)</f>
        <v>14.955911874573212</v>
      </c>
      <c r="Z49" s="31">
        <f>SQRT((INDEX(US_x,34)-INDEX(US_x,23))^2+(INDEX(US_y,34)-INDEX(US_y,23))^2)</f>
        <v>11.47840145664892</v>
      </c>
      <c r="AA49" s="31">
        <f>SQRT((INDEX(US_x,34)-INDEX(US_x,24))^2+(INDEX(US_y,34)-INDEX(US_y,24))^2)</f>
        <v>33.831857767494824</v>
      </c>
      <c r="AB49" s="31">
        <f>SQRT((INDEX(US_x,34)-INDEX(US_x,25))^2+(INDEX(US_y,34)-INDEX(US_y,25))^2)</f>
        <v>11.636051735876734</v>
      </c>
      <c r="AC49" s="31">
        <f>SQRT((INDEX(US_x,34)-INDEX(US_x,26))^2+(INDEX(US_y,34)-INDEX(US_y,26))^2)</f>
        <v>39.376837100000806</v>
      </c>
      <c r="AD49" s="31">
        <f>SQRT((INDEX(US_x,34)-INDEX(US_x,27))^2+(INDEX(US_y,34)-INDEX(US_y,27))^2)</f>
        <v>46.68666833261932</v>
      </c>
      <c r="AE49" s="31">
        <f>SQRT((INDEX(US_x,34)-INDEX(US_x,28))^2+(INDEX(US_y,34)-INDEX(US_y,28))^2)</f>
        <v>40.4321382071243</v>
      </c>
      <c r="AF49" s="31">
        <f>SQRT((INDEX(US_x,34)-INDEX(US_x,29))^2+(INDEX(US_y,34)-INDEX(US_y,29))^2)</f>
        <v>14.977065800750157</v>
      </c>
      <c r="AG49" s="31">
        <f>SQRT((INDEX(US_x,34)-INDEX(US_x,30))^2+(INDEX(US_y,34)-INDEX(US_y,30))^2)</f>
        <v>42.9795300113903</v>
      </c>
      <c r="AH49" s="31">
        <f>SQRT((INDEX(US_x,34)-INDEX(US_x,31))^2+(INDEX(US_y,34)-INDEX(US_y,31))^2)</f>
        <v>33.45979378298677</v>
      </c>
      <c r="AI49" s="31">
        <f>SQRT((INDEX(US_x,34)-INDEX(US_x,32))^2+(INDEX(US_y,34)-INDEX(US_y,32))^2)</f>
        <v>25.094258307429605</v>
      </c>
      <c r="AJ49" s="31">
        <f>SQRT((INDEX(US_x,34)-INDEX(US_x,33))^2+(INDEX(US_y,34)-INDEX(US_y,33))^2)</f>
        <v>26.84352622141883</v>
      </c>
      <c r="AK49" s="31" t="s">
        <v>30</v>
      </c>
      <c r="AL49" s="31">
        <f>SQRT((INDEX(US_x,34)-INDEX(US_x,35))^2+(INDEX(US_y,34)-INDEX(US_y,35))^2)</f>
        <v>46.96652957160025</v>
      </c>
      <c r="AM49" s="31">
        <f>SQRT((INDEX(US_x,34)-INDEX(US_x,36))^2+(INDEX(US_y,34)-INDEX(US_y,36))^2)</f>
        <v>36.92040221882747</v>
      </c>
      <c r="AN49" s="31">
        <f>SQRT((INDEX(US_x,34)-INDEX(US_x,37))^2+(INDEX(US_y,34)-INDEX(US_y,37))^2)</f>
        <v>46.35442265846917</v>
      </c>
      <c r="AO49" s="31">
        <f>SQRT((INDEX(US_x,34)-INDEX(US_x,38))^2+(INDEX(US_y,34)-INDEX(US_y,38))^2)</f>
        <v>29.74016139835156</v>
      </c>
      <c r="AP49" s="31">
        <f>SQRT((INDEX(US_x,34)-INDEX(US_x,39))^2+(INDEX(US_y,34)-INDEX(US_y,39))^2)</f>
        <v>19.807920133118465</v>
      </c>
      <c r="AQ49" s="31">
        <f>SQRT((INDEX(US_x,34)-INDEX(US_x,40))^2+(INDEX(US_y,34)-INDEX(US_y,40))^2)</f>
        <v>19.088053855749678</v>
      </c>
      <c r="AR49" s="31">
        <f>SQRT((INDEX(US_x,34)-INDEX(US_x,41))^2+(INDEX(US_y,34)-INDEX(US_y,41))^2)</f>
        <v>11.231620542023311</v>
      </c>
      <c r="AS49" s="31">
        <f>SQRT((INDEX(US_x,34)-INDEX(US_x,42))^2+(INDEX(US_y,34)-INDEX(US_y,42))^2)</f>
        <v>27.174445716518303</v>
      </c>
      <c r="AT49" s="31">
        <f>SQRT((INDEX(US_x,34)-INDEX(US_x,43))^2+(INDEX(US_y,34)-INDEX(US_y,43))^2)</f>
        <v>45.64754648390207</v>
      </c>
      <c r="AU49" s="31">
        <f>SQRT((INDEX(US_x,34)-INDEX(US_x,44))^2+(INDEX(US_y,34)-INDEX(US_y,44))^2)</f>
        <v>35.47038483016502</v>
      </c>
      <c r="AV49" s="31">
        <f>SQRT((INDEX(US_x,34)-INDEX(US_x,45))^2+(INDEX(US_y,34)-INDEX(US_y,45))^2)</f>
        <v>48.2970889391897</v>
      </c>
      <c r="AW49" s="31">
        <f>SQRT((INDEX(US_x,34)-INDEX(US_x,46))^2+(INDEX(US_y,34)-INDEX(US_y,46))^2)</f>
        <v>28.38595779606529</v>
      </c>
      <c r="AX49" s="31">
        <f>SQRT((INDEX(US_x,34)-INDEX(US_x,47))^2+(INDEX(US_y,34)-INDEX(US_y,47))^2)</f>
        <v>21.39282356305497</v>
      </c>
      <c r="AY49" s="31">
        <f>SQRT((INDEX(US_x,34)-INDEX(US_x,48))^2+(INDEX(US_y,34)-INDEX(US_y,48))^2)</f>
        <v>17.509314663915315</v>
      </c>
      <c r="AZ49" s="31" t="s">
        <v>30</v>
      </c>
      <c r="BA49" s="34">
        <v>46.08</v>
      </c>
      <c r="BB49" s="34">
        <v>11.98</v>
      </c>
    </row>
    <row r="50" spans="3:54" ht="15" thickBot="1" thickTop="1">
      <c r="C50" s="26">
        <v>35</v>
      </c>
      <c r="D50" s="31">
        <f>SQRT((INDEX(US_x,35)-INDEX(US_x,1))^2+(INDEX(US_y,35)-INDEX(US_y,1))^2)</f>
        <v>67.54234967781325</v>
      </c>
      <c r="E50" s="31">
        <f>SQRT((INDEX(US_x,35)-INDEX(US_x,2))^2+(INDEX(US_y,35)-INDEX(US_y,2))^2)</f>
        <v>31.225848267100766</v>
      </c>
      <c r="F50" s="31">
        <f>SQRT((INDEX(US_x,35)-INDEX(US_x,3))^2+(INDEX(US_y,35)-INDEX(US_y,3))^2)</f>
        <v>55.63660036342983</v>
      </c>
      <c r="G50" s="31">
        <f>SQRT((INDEX(US_x,35)-INDEX(US_x,4))^2+(INDEX(US_y,35)-INDEX(US_y,4))^2)</f>
        <v>14.26011570780546</v>
      </c>
      <c r="H50" s="31">
        <f>SQRT((INDEX(US_x,35)-INDEX(US_x,5))^2+(INDEX(US_y,35)-INDEX(US_y,5))^2)</f>
        <v>31.12019440813312</v>
      </c>
      <c r="I50" s="31">
        <f>SQRT((INDEX(US_x,35)-INDEX(US_x,6))^2+(INDEX(US_y,35)-INDEX(US_y,6))^2)</f>
        <v>79.09411419315599</v>
      </c>
      <c r="J50" s="31">
        <f>SQRT((INDEX(US_x,35)-INDEX(US_x,7))^2+(INDEX(US_y,35)-INDEX(US_y,7))^2)</f>
        <v>76.97564549907977</v>
      </c>
      <c r="K50" s="31">
        <f>SQRT((INDEX(US_x,35)-INDEX(US_x,8))^2+(INDEX(US_y,35)-INDEX(US_y,8))^2)</f>
        <v>73.03784498463793</v>
      </c>
      <c r="L50" s="31">
        <f>SQRT((INDEX(US_x,35)-INDEX(US_x,9))^2+(INDEX(US_y,35)-INDEX(US_y,9))^2)</f>
        <v>68.82963460603288</v>
      </c>
      <c r="M50" s="31">
        <f>SQRT((INDEX(US_x,35)-INDEX(US_x,10))^2+(INDEX(US_y,35)-INDEX(US_y,10))^2)</f>
        <v>11.017304570538112</v>
      </c>
      <c r="N50" s="31">
        <f>SQRT((INDEX(US_x,35)-INDEX(US_x,11))^2+(INDEX(US_y,35)-INDEX(US_y,11))^2)</f>
        <v>54.58949074684614</v>
      </c>
      <c r="O50" s="31">
        <f>SQRT((INDEX(US_x,35)-INDEX(US_x,12))^2+(INDEX(US_y,35)-INDEX(US_y,12))^2)</f>
        <v>60.02066727386493</v>
      </c>
      <c r="P50" s="31">
        <f>SQRT((INDEX(US_x,35)-INDEX(US_x,13))^2+(INDEX(US_y,35)-INDEX(US_y,13))^2)</f>
        <v>47.053430268153676</v>
      </c>
      <c r="Q50" s="31">
        <f>SQRT((INDEX(US_x,35)-INDEX(US_x,14))^2+(INDEX(US_y,35)-INDEX(US_y,14))^2)</f>
        <v>45.92568126876291</v>
      </c>
      <c r="R50" s="31">
        <f>SQRT((INDEX(US_x,35)-INDEX(US_x,15))^2+(INDEX(US_y,35)-INDEX(US_y,15))^2)</f>
        <v>63.41219519934632</v>
      </c>
      <c r="S50" s="31">
        <f>SQRT((INDEX(US_x,35)-INDEX(US_x,16))^2+(INDEX(US_y,35)-INDEX(US_y,16))^2)</f>
        <v>62.77600258060401</v>
      </c>
      <c r="T50" s="31">
        <f>SQRT((INDEX(US_x,35)-INDEX(US_x,17))^2+(INDEX(US_y,35)-INDEX(US_y,17))^2)</f>
        <v>81.47807557864876</v>
      </c>
      <c r="U50" s="31">
        <f>SQRT((INDEX(US_x,35)-INDEX(US_x,18))^2+(INDEX(US_y,35)-INDEX(US_y,18))^2)</f>
        <v>75.64826303359516</v>
      </c>
      <c r="V50" s="31">
        <f>SQRT((INDEX(US_x,35)-INDEX(US_x,19))^2+(INDEX(US_y,35)-INDEX(US_y,19))^2)</f>
        <v>81.06400557584111</v>
      </c>
      <c r="W50" s="31">
        <f>SQRT((INDEX(US_x,35)-INDEX(US_x,20))^2+(INDEX(US_y,35)-INDEX(US_y,20))^2)</f>
        <v>60.28943025108133</v>
      </c>
      <c r="X50" s="31">
        <f>SQRT((INDEX(US_x,35)-INDEX(US_x,21))^2+(INDEX(US_y,35)-INDEX(US_y,21))^2)</f>
        <v>46.06626639961176</v>
      </c>
      <c r="Y50" s="31">
        <f>SQRT((INDEX(US_x,35)-INDEX(US_x,22))^2+(INDEX(US_y,35)-INDEX(US_y,22))^2)</f>
        <v>61.77808672984297</v>
      </c>
      <c r="Z50" s="31">
        <f>SQRT((INDEX(US_x,35)-INDEX(US_x,23))^2+(INDEX(US_y,35)-INDEX(US_y,23))^2)</f>
        <v>51.76111668038085</v>
      </c>
      <c r="AA50" s="31">
        <f>SQRT((INDEX(US_x,35)-INDEX(US_x,24))^2+(INDEX(US_y,35)-INDEX(US_y,24))^2)</f>
        <v>17.157357022571976</v>
      </c>
      <c r="AB50" s="31">
        <f>SQRT((INDEX(US_x,35)-INDEX(US_x,25))^2+(INDEX(US_y,35)-INDEX(US_y,25))^2)</f>
        <v>42.853111905671454</v>
      </c>
      <c r="AC50" s="31">
        <f>SQRT((INDEX(US_x,35)-INDEX(US_x,26))^2+(INDEX(US_y,35)-INDEX(US_y,26))^2)</f>
        <v>13.74483175597286</v>
      </c>
      <c r="AD50" s="31">
        <f>SQRT((INDEX(US_x,35)-INDEX(US_x,27))^2+(INDEX(US_y,35)-INDEX(US_y,27))^2)</f>
        <v>79.69104905822233</v>
      </c>
      <c r="AE50" s="31">
        <f>SQRT((INDEX(US_x,35)-INDEX(US_x,28))^2+(INDEX(US_y,35)-INDEX(US_y,28))^2)</f>
        <v>77.2240564850099</v>
      </c>
      <c r="AF50" s="31">
        <f>SQRT((INDEX(US_x,35)-INDEX(US_x,29))^2+(INDEX(US_y,35)-INDEX(US_y,29))^2)</f>
        <v>34.7553103856087</v>
      </c>
      <c r="AG50" s="31">
        <f>SQRT((INDEX(US_x,35)-INDEX(US_x,30))^2+(INDEX(US_y,35)-INDEX(US_y,30))^2)</f>
        <v>76.78433499093418</v>
      </c>
      <c r="AH50" s="31">
        <f>SQRT((INDEX(US_x,35)-INDEX(US_x,31))^2+(INDEX(US_y,35)-INDEX(US_y,31))^2)</f>
        <v>75.44713977348644</v>
      </c>
      <c r="AI50" s="31">
        <f>SQRT((INDEX(US_x,35)-INDEX(US_x,32))^2+(INDEX(US_y,35)-INDEX(US_y,32))^2)</f>
        <v>34.0105939377718</v>
      </c>
      <c r="AJ50" s="31">
        <f>SQRT((INDEX(US_x,35)-INDEX(US_x,33))^2+(INDEX(US_y,35)-INDEX(US_y,33))^2)</f>
        <v>64.74122179878906</v>
      </c>
      <c r="AK50" s="31">
        <f>SQRT((INDEX(US_x,35)-INDEX(US_x,34))^2+(INDEX(US_y,35)-INDEX(US_y,34))^2)</f>
        <v>46.96652957160025</v>
      </c>
      <c r="AL50" s="31" t="s">
        <v>30</v>
      </c>
      <c r="AM50" s="31">
        <f>SQRT((INDEX(US_x,35)-INDEX(US_x,36))^2+(INDEX(US_y,35)-INDEX(US_y,36))^2)</f>
        <v>73.92130545384057</v>
      </c>
      <c r="AN50" s="31">
        <f>SQRT((INDEX(US_x,35)-INDEX(US_x,37))^2+(INDEX(US_y,35)-INDEX(US_y,37))^2)</f>
        <v>80.96404263622216</v>
      </c>
      <c r="AO50" s="31">
        <f>SQRT((INDEX(US_x,35)-INDEX(US_x,38))^2+(INDEX(US_y,35)-INDEX(US_y,38))^2)</f>
        <v>73.69053195628322</v>
      </c>
      <c r="AP50" s="31">
        <f>SQRT((INDEX(US_x,35)-INDEX(US_x,39))^2+(INDEX(US_y,35)-INDEX(US_y,39))^2)</f>
        <v>35.148669960611606</v>
      </c>
      <c r="AQ50" s="31">
        <f>SQRT((INDEX(US_x,35)-INDEX(US_x,40))^2+(INDEX(US_y,35)-INDEX(US_y,40))^2)</f>
        <v>62.48525025956126</v>
      </c>
      <c r="AR50" s="31">
        <f>SQRT((INDEX(US_x,35)-INDEX(US_x,41))^2+(INDEX(US_y,35)-INDEX(US_y,41))^2)</f>
        <v>53.78774953462917</v>
      </c>
      <c r="AS50" s="31">
        <f>SQRT((INDEX(US_x,35)-INDEX(US_x,42))^2+(INDEX(US_y,35)-INDEX(US_y,42))^2)</f>
        <v>20.00514433839456</v>
      </c>
      <c r="AT50" s="31">
        <f>SQRT((INDEX(US_x,35)-INDEX(US_x,43))^2+(INDEX(US_y,35)-INDEX(US_y,43))^2)</f>
        <v>77.37088470477767</v>
      </c>
      <c r="AU50" s="31">
        <f>SQRT((INDEX(US_x,35)-INDEX(US_x,44))^2+(INDEX(US_y,35)-INDEX(US_y,44))^2)</f>
        <v>75.55575755691952</v>
      </c>
      <c r="AV50" s="33">
        <f>SQRT((INDEX(US_x,35)-INDEX(US_x,45))^2+(INDEX(US_y,35)-INDEX(US_y,45))^2)</f>
        <v>4.601836589884523</v>
      </c>
      <c r="AW50" s="31">
        <f>SQRT((INDEX(US_x,35)-INDEX(US_x,46))^2+(INDEX(US_y,35)-INDEX(US_y,46))^2)</f>
        <v>68.28351558026284</v>
      </c>
      <c r="AX50" s="31">
        <f>SQRT((INDEX(US_x,35)-INDEX(US_x,47))^2+(INDEX(US_y,35)-INDEX(US_y,47))^2)</f>
        <v>52.66118874465331</v>
      </c>
      <c r="AY50" s="31">
        <f>SQRT((INDEX(US_x,35)-INDEX(US_x,48))^2+(INDEX(US_y,35)-INDEX(US_y,48))^2)</f>
        <v>30.124866804684796</v>
      </c>
      <c r="AZ50" s="31" t="s">
        <v>30</v>
      </c>
      <c r="BA50" s="34">
        <v>0.23</v>
      </c>
      <c r="BB50" s="34">
        <v>22.16</v>
      </c>
    </row>
    <row r="51" spans="3:54" ht="15" thickBot="1" thickTop="1">
      <c r="C51" s="26">
        <v>36</v>
      </c>
      <c r="D51" s="31">
        <f>SQRT((INDEX(US_x,36)-INDEX(US_x,1))^2+(INDEX(US_y,36)-INDEX(US_y,1))^2)</f>
        <v>23.82115026609756</v>
      </c>
      <c r="E51" s="31">
        <f>SQRT((INDEX(US_x,36)-INDEX(US_x,2))^2+(INDEX(US_y,36)-INDEX(US_y,2))^2)</f>
        <v>62.734030637286494</v>
      </c>
      <c r="F51" s="31">
        <f>SQRT((INDEX(US_x,36)-INDEX(US_x,3))^2+(INDEX(US_y,36)-INDEX(US_y,3))^2)</f>
        <v>29.150555740843092</v>
      </c>
      <c r="G51" s="31">
        <f>SQRT((INDEX(US_x,36)-INDEX(US_x,4))^2+(INDEX(US_y,36)-INDEX(US_y,4))^2)</f>
        <v>74.50721642901445</v>
      </c>
      <c r="H51" s="31">
        <f>SQRT((INDEX(US_x,36)-INDEX(US_x,5))^2+(INDEX(US_y,36)-INDEX(US_y,5))^2)</f>
        <v>46.81215760889472</v>
      </c>
      <c r="I51" s="31">
        <f>SQRT((INDEX(US_x,36)-INDEX(US_x,6))^2+(INDEX(US_y,36)-INDEX(US_y,6))^2)</f>
        <v>7.685317169772497</v>
      </c>
      <c r="J51" s="31">
        <f>SQRT((INDEX(US_x,36)-INDEX(US_x,7))^2+(INDEX(US_y,36)-INDEX(US_y,7))^2)</f>
        <v>3.3104984518951226</v>
      </c>
      <c r="K51" s="31">
        <f>SQRT((INDEX(US_x,36)-INDEX(US_x,8))^2+(INDEX(US_y,36)-INDEX(US_y,8))^2)</f>
        <v>25.110575461346958</v>
      </c>
      <c r="L51" s="31">
        <f>SQRT((INDEX(US_x,36)-INDEX(US_x,9))^2+(INDEX(US_y,36)-INDEX(US_y,9))^2)</f>
        <v>19.260674962212512</v>
      </c>
      <c r="M51" s="31">
        <f>SQRT((INDEX(US_x,36)-INDEX(US_x,10))^2+(INDEX(US_y,36)-INDEX(US_y,10))^2)</f>
        <v>63.752173296288504</v>
      </c>
      <c r="N51" s="31">
        <f>SQRT((INDEX(US_x,36)-INDEX(US_x,11))^2+(INDEX(US_y,36)-INDEX(US_y,11))^2)</f>
        <v>21.31743183406482</v>
      </c>
      <c r="O51" s="31">
        <f>SQRT((INDEX(US_x,36)-INDEX(US_x,12))^2+(INDEX(US_y,36)-INDEX(US_y,12))^2)</f>
        <v>15.511018664162584</v>
      </c>
      <c r="P51" s="31">
        <f>SQRT((INDEX(US_x,36)-INDEX(US_x,13))^2+(INDEX(US_y,36)-INDEX(US_y,13))^2)</f>
        <v>27.717844432783732</v>
      </c>
      <c r="Q51" s="31">
        <f>SQRT((INDEX(US_x,36)-INDEX(US_x,14))^2+(INDEX(US_y,36)-INDEX(US_y,14))^2)</f>
        <v>31.607011880277458</v>
      </c>
      <c r="R51" s="31">
        <f>SQRT((INDEX(US_x,36)-INDEX(US_x,15))^2+(INDEX(US_y,36)-INDEX(US_y,15))^2)</f>
        <v>14.188083027667977</v>
      </c>
      <c r="S51" s="31">
        <f>SQRT((INDEX(US_x,36)-INDEX(US_x,16))^2+(INDEX(US_y,36)-INDEX(US_y,16))^2)</f>
        <v>33.12699956229057</v>
      </c>
      <c r="T51" s="31">
        <f>SQRT((INDEX(US_x,36)-INDEX(US_x,17))^2+(INDEX(US_y,36)-INDEX(US_y,17))^2)</f>
        <v>14.511354175265659</v>
      </c>
      <c r="U51" s="31">
        <f>SQRT((INDEX(US_x,36)-INDEX(US_x,18))^2+(INDEX(US_y,36)-INDEX(US_y,18))^2)</f>
        <v>2.8551182112129796</v>
      </c>
      <c r="V51" s="31">
        <f>SQRT((INDEX(US_x,36)-INDEX(US_x,19))^2+(INDEX(US_y,36)-INDEX(US_y,19))^2)</f>
        <v>10.608449462574626</v>
      </c>
      <c r="W51" s="31">
        <f>SQRT((INDEX(US_x,36)-INDEX(US_x,20))^2+(INDEX(US_y,36)-INDEX(US_y,20))^2)</f>
        <v>13.655138227055781</v>
      </c>
      <c r="X51" s="31">
        <f>SQRT((INDEX(US_x,36)-INDEX(US_x,21))^2+(INDEX(US_y,36)-INDEX(US_y,21))^2)</f>
        <v>27.952325484653336</v>
      </c>
      <c r="Y51" s="31">
        <f>SQRT((INDEX(US_x,36)-INDEX(US_x,22))^2+(INDEX(US_y,36)-INDEX(US_y,22))^2)</f>
        <v>29.05024956863538</v>
      </c>
      <c r="Z51" s="31">
        <f>SQRT((INDEX(US_x,36)-INDEX(US_x,23))^2+(INDEX(US_y,36)-INDEX(US_y,23))^2)</f>
        <v>25.97847185651997</v>
      </c>
      <c r="AA51" s="31">
        <f>SQRT((INDEX(US_x,36)-INDEX(US_x,24))^2+(INDEX(US_y,36)-INDEX(US_y,24))^2)</f>
        <v>56.98168565425211</v>
      </c>
      <c r="AB51" s="31">
        <f>SQRT((INDEX(US_x,36)-INDEX(US_x,25))^2+(INDEX(US_y,36)-INDEX(US_y,25))^2)</f>
        <v>32.821227886841776</v>
      </c>
      <c r="AC51" s="31">
        <f>SQRT((INDEX(US_x,36)-INDEX(US_x,26))^2+(INDEX(US_y,36)-INDEX(US_y,26))^2)</f>
        <v>71.33993131479733</v>
      </c>
      <c r="AD51" s="31">
        <f>SQRT((INDEX(US_x,36)-INDEX(US_x,27))^2+(INDEX(US_y,36)-INDEX(US_y,27))^2)</f>
        <v>10.84365713216717</v>
      </c>
      <c r="AE51" s="31">
        <f>SQRT((INDEX(US_x,36)-INDEX(US_x,28))^2+(INDEX(US_y,36)-INDEX(US_y,28))^2)</f>
        <v>3.5588340787398294</v>
      </c>
      <c r="AF51" s="31">
        <f>SQRT((INDEX(US_x,36)-INDEX(US_x,29))^2+(INDEX(US_y,36)-INDEX(US_y,29))^2)</f>
        <v>50.70657748261068</v>
      </c>
      <c r="AG51" s="33">
        <f>SQRT((INDEX(US_x,36)-INDEX(US_x,30))^2+(INDEX(US_y,36)-INDEX(US_y,30))^2)</f>
        <v>7.3440111655688565</v>
      </c>
      <c r="AH51" s="31">
        <f>SQRT((INDEX(US_x,36)-INDEX(US_x,31))^2+(INDEX(US_y,36)-INDEX(US_y,31))^2)</f>
        <v>10.221022453746981</v>
      </c>
      <c r="AI51" s="31">
        <f>SQRT((INDEX(US_x,36)-INDEX(US_x,32))^2+(INDEX(US_y,36)-INDEX(US_y,32))^2)</f>
        <v>40.309657651734035</v>
      </c>
      <c r="AJ51" s="31">
        <f>SQRT((INDEX(US_x,36)-INDEX(US_x,33))^2+(INDEX(US_y,36)-INDEX(US_y,33))^2)</f>
        <v>10.212345470067097</v>
      </c>
      <c r="AK51" s="31">
        <f>SQRT((INDEX(US_x,36)-INDEX(US_x,34))^2+(INDEX(US_y,36)-INDEX(US_y,34))^2)</f>
        <v>36.92040221882747</v>
      </c>
      <c r="AL51" s="31">
        <f>SQRT((INDEX(US_x,36)-INDEX(US_x,35))^2+(INDEX(US_y,36)-INDEX(US_y,35))^2)</f>
        <v>73.92130545384057</v>
      </c>
      <c r="AM51" s="31" t="s">
        <v>30</v>
      </c>
      <c r="AN51" s="31">
        <f>SQRT((INDEX(US_x,36)-INDEX(US_x,37))^2+(INDEX(US_y,36)-INDEX(US_y,37))^2)</f>
        <v>9.643920364664988</v>
      </c>
      <c r="AO51" s="31">
        <f>SQRT((INDEX(US_x,36)-INDEX(US_x,38))^2+(INDEX(US_y,36)-INDEX(US_y,38))^2)</f>
        <v>15.417396018783455</v>
      </c>
      <c r="AP51" s="31">
        <f>SQRT((INDEX(US_x,36)-INDEX(US_x,39))^2+(INDEX(US_y,36)-INDEX(US_y,39))^2)</f>
        <v>38.82035033329813</v>
      </c>
      <c r="AQ51" s="31">
        <f>SQRT((INDEX(US_x,36)-INDEX(US_x,40))^2+(INDEX(US_y,36)-INDEX(US_y,40))^2)</f>
        <v>19.12397709682795</v>
      </c>
      <c r="AR51" s="31">
        <f>SQRT((INDEX(US_x,36)-INDEX(US_x,41))^2+(INDEX(US_y,36)-INDEX(US_y,41))^2)</f>
        <v>42.85264285898829</v>
      </c>
      <c r="AS51" s="31">
        <f>SQRT((INDEX(US_x,36)-INDEX(US_x,42))^2+(INDEX(US_y,36)-INDEX(US_y,42))^2)</f>
        <v>57.71856200564945</v>
      </c>
      <c r="AT51" s="31">
        <f>SQRT((INDEX(US_x,36)-INDEX(US_x,43))^2+(INDEX(US_y,36)-INDEX(US_y,43))^2)</f>
        <v>11.204570496007424</v>
      </c>
      <c r="AU51" s="31">
        <f>SQRT((INDEX(US_x,36)-INDEX(US_x,44))^2+(INDEX(US_y,36)-INDEX(US_y,44))^2)</f>
        <v>5.997674549356607</v>
      </c>
      <c r="AV51" s="31">
        <f>SQRT((INDEX(US_x,36)-INDEX(US_x,45))^2+(INDEX(US_y,36)-INDEX(US_y,45))^2)</f>
        <v>73.21560830861137</v>
      </c>
      <c r="AW51" s="31">
        <f>SQRT((INDEX(US_x,36)-INDEX(US_x,46))^2+(INDEX(US_y,36)-INDEX(US_y,46))^2)</f>
        <v>9.01264112233479</v>
      </c>
      <c r="AX51" s="31">
        <f>SQRT((INDEX(US_x,36)-INDEX(US_x,47))^2+(INDEX(US_y,36)-INDEX(US_y,47))^2)</f>
        <v>21.277711343093273</v>
      </c>
      <c r="AY51" s="31">
        <f>SQRT((INDEX(US_x,36)-INDEX(US_x,48))^2+(INDEX(US_y,36)-INDEX(US_y,48))^2)</f>
        <v>46.070808545108044</v>
      </c>
      <c r="AZ51" s="31" t="s">
        <v>30</v>
      </c>
      <c r="BA51" s="34">
        <v>72.48</v>
      </c>
      <c r="BB51" s="34">
        <v>37.79</v>
      </c>
    </row>
    <row r="52" spans="3:54" ht="15" thickBot="1" thickTop="1">
      <c r="C52" s="26">
        <v>37</v>
      </c>
      <c r="D52" s="31">
        <f>SQRT((INDEX(US_x,37)-INDEX(US_x,1))^2+(INDEX(US_y,37)-INDEX(US_y,1))^2)</f>
        <v>33.058959451259206</v>
      </c>
      <c r="E52" s="31">
        <f>SQRT((INDEX(US_x,37)-INDEX(US_x,2))^2+(INDEX(US_y,37)-INDEX(US_y,2))^2)</f>
        <v>71.82761725130524</v>
      </c>
      <c r="F52" s="31">
        <f>SQRT((INDEX(US_x,37)-INDEX(US_x,3))^2+(INDEX(US_y,37)-INDEX(US_y,3))^2)</f>
        <v>38.77765464800573</v>
      </c>
      <c r="G52" s="31">
        <f>SQRT((INDEX(US_x,37)-INDEX(US_x,4))^2+(INDEX(US_y,37)-INDEX(US_y,4))^2)</f>
        <v>82.62979910419728</v>
      </c>
      <c r="H52" s="31">
        <f>SQRT((INDEX(US_x,37)-INDEX(US_x,5))^2+(INDEX(US_y,37)-INDEX(US_y,5))^2)</f>
        <v>55.327028656887045</v>
      </c>
      <c r="I52" s="33">
        <f>SQRT((INDEX(US_x,37)-INDEX(US_x,6))^2+(INDEX(US_y,37)-INDEX(US_y,6))^2)</f>
        <v>2.061188977265314</v>
      </c>
      <c r="J52" s="31">
        <f>SQRT((INDEX(US_x,37)-INDEX(US_x,7))^2+(INDEX(US_y,37)-INDEX(US_y,7))^2)</f>
        <v>8.990895394786891</v>
      </c>
      <c r="K52" s="31">
        <f>SQRT((INDEX(US_x,37)-INDEX(US_x,8))^2+(INDEX(US_y,37)-INDEX(US_y,8))^2)</f>
        <v>33.63917061997814</v>
      </c>
      <c r="L52" s="31">
        <f>SQRT((INDEX(US_x,37)-INDEX(US_x,9))^2+(INDEX(US_y,37)-INDEX(US_y,9))^2)</f>
        <v>28.443972999565304</v>
      </c>
      <c r="M52" s="31">
        <f>SQRT((INDEX(US_x,37)-INDEX(US_x,10))^2+(INDEX(US_y,37)-INDEX(US_y,10))^2)</f>
        <v>71.20717379590346</v>
      </c>
      <c r="N52" s="31">
        <f>SQRT((INDEX(US_x,37)-INDEX(US_x,11))^2+(INDEX(US_y,37)-INDEX(US_y,11))^2)</f>
        <v>30.36207667469405</v>
      </c>
      <c r="O52" s="31">
        <f>SQRT((INDEX(US_x,37)-INDEX(US_x,12))^2+(INDEX(US_y,37)-INDEX(US_y,12))^2)</f>
        <v>24.71601302799463</v>
      </c>
      <c r="P52" s="31">
        <f>SQRT((INDEX(US_x,37)-INDEX(US_x,13))^2+(INDEX(US_y,37)-INDEX(US_y,13))^2)</f>
        <v>36.09622833482745</v>
      </c>
      <c r="Q52" s="31">
        <f>SQRT((INDEX(US_x,37)-INDEX(US_x,14))^2+(INDEX(US_y,37)-INDEX(US_y,14))^2)</f>
        <v>40.59076249591772</v>
      </c>
      <c r="R52" s="31">
        <f>SQRT((INDEX(US_x,37)-INDEX(US_x,15))^2+(INDEX(US_y,37)-INDEX(US_y,15))^2)</f>
        <v>23.786485658877822</v>
      </c>
      <c r="S52" s="31">
        <f>SQRT((INDEX(US_x,37)-INDEX(US_x,16))^2+(INDEX(US_y,37)-INDEX(US_y,16))^2)</f>
        <v>42.60575195909586</v>
      </c>
      <c r="T52" s="31">
        <f>SQRT((INDEX(US_x,37)-INDEX(US_x,17))^2+(INDEX(US_y,37)-INDEX(US_y,17))^2)</f>
        <v>6.080476954976478</v>
      </c>
      <c r="U52" s="31">
        <f>SQRT((INDEX(US_x,37)-INDEX(US_x,18))^2+(INDEX(US_y,37)-INDEX(US_y,18))^2)</f>
        <v>10.488207663848007</v>
      </c>
      <c r="V52" s="31">
        <f>SQRT((INDEX(US_x,37)-INDEX(US_x,19))^2+(INDEX(US_y,37)-INDEX(US_y,19))^2)</f>
        <v>1.3146862743635805</v>
      </c>
      <c r="W52" s="31">
        <f>SQRT((INDEX(US_x,37)-INDEX(US_x,20))^2+(INDEX(US_y,37)-INDEX(US_y,20))^2)</f>
        <v>21.298356744124657</v>
      </c>
      <c r="X52" s="31">
        <f>SQRT((INDEX(US_x,37)-INDEX(US_x,21))^2+(INDEX(US_y,37)-INDEX(US_y,21))^2)</f>
        <v>35.00702358099015</v>
      </c>
      <c r="Y52" s="31">
        <f>SQRT((INDEX(US_x,37)-INDEX(US_x,22))^2+(INDEX(US_y,37)-INDEX(US_y,22))^2)</f>
        <v>38.60588815193869</v>
      </c>
      <c r="Z52" s="31">
        <f>SQRT((INDEX(US_x,37)-INDEX(US_x,23))^2+(INDEX(US_y,37)-INDEX(US_y,23))^2)</f>
        <v>35.20161644015798</v>
      </c>
      <c r="AA52" s="31">
        <f>SQRT((INDEX(US_x,37)-INDEX(US_x,24))^2+(INDEX(US_y,37)-INDEX(US_y,24))^2)</f>
        <v>63.8392019060389</v>
      </c>
      <c r="AB52" s="31">
        <f>SQRT((INDEX(US_x,37)-INDEX(US_x,25))^2+(INDEX(US_y,37)-INDEX(US_y,25))^2)</f>
        <v>41.35644327066824</v>
      </c>
      <c r="AC52" s="31">
        <f>SQRT((INDEX(US_x,37)-INDEX(US_x,26))^2+(INDEX(US_y,37)-INDEX(US_y,26))^2)</f>
        <v>79.43959340278624</v>
      </c>
      <c r="AD52" s="31">
        <f>SQRT((INDEX(US_x,37)-INDEX(US_x,27))^2+(INDEX(US_y,37)-INDEX(US_y,27))^2)</f>
        <v>3.050000000000001</v>
      </c>
      <c r="AE52" s="31">
        <f>SQRT((INDEX(US_x,37)-INDEX(US_x,28))^2+(INDEX(US_y,37)-INDEX(US_y,28))^2)</f>
        <v>6.52561874460959</v>
      </c>
      <c r="AF52" s="31">
        <f>SQRT((INDEX(US_x,37)-INDEX(US_x,29))^2+(INDEX(US_y,37)-INDEX(US_y,29))^2)</f>
        <v>59.79978762504095</v>
      </c>
      <c r="AG52" s="31">
        <f>SQRT((INDEX(US_x,37)-INDEX(US_x,30))^2+(INDEX(US_y,37)-INDEX(US_y,30))^2)</f>
        <v>4.195485669144881</v>
      </c>
      <c r="AH52" s="31">
        <f>SQRT((INDEX(US_x,37)-INDEX(US_x,31))^2+(INDEX(US_y,37)-INDEX(US_y,31))^2)</f>
        <v>18.070763680597455</v>
      </c>
      <c r="AI52" s="31">
        <f>SQRT((INDEX(US_x,37)-INDEX(US_x,32))^2+(INDEX(US_y,37)-INDEX(US_y,32))^2)</f>
        <v>46.97593958613282</v>
      </c>
      <c r="AJ52" s="31">
        <f>SQRT((INDEX(US_x,37)-INDEX(US_x,33))^2+(INDEX(US_y,37)-INDEX(US_y,33))^2)</f>
        <v>19.51148379800983</v>
      </c>
      <c r="AK52" s="31">
        <f>SQRT((INDEX(US_x,37)-INDEX(US_x,34))^2+(INDEX(US_y,37)-INDEX(US_y,34))^2)</f>
        <v>46.35442265846917</v>
      </c>
      <c r="AL52" s="31">
        <f>SQRT((INDEX(US_x,37)-INDEX(US_x,35))^2+(INDEX(US_y,37)-INDEX(US_y,35))^2)</f>
        <v>80.96404263622216</v>
      </c>
      <c r="AM52" s="31">
        <f>SQRT((INDEX(US_x,37)-INDEX(US_x,36))^2+(INDEX(US_y,37)-INDEX(US_y,36))^2)</f>
        <v>9.643920364664988</v>
      </c>
      <c r="AN52" s="31" t="s">
        <v>30</v>
      </c>
      <c r="AO52" s="31">
        <f>SQRT((INDEX(US_x,37)-INDEX(US_x,38))^2+(INDEX(US_y,37)-INDEX(US_y,38))^2)</f>
        <v>23.79937184044991</v>
      </c>
      <c r="AP52" s="31">
        <f>SQRT((INDEX(US_x,37)-INDEX(US_x,39))^2+(INDEX(US_y,37)-INDEX(US_y,39))^2)</f>
        <v>46.281789075185934</v>
      </c>
      <c r="AQ52" s="31">
        <f>SQRT((INDEX(US_x,37)-INDEX(US_x,40))^2+(INDEX(US_y,37)-INDEX(US_y,40))^2)</f>
        <v>28.76574525368672</v>
      </c>
      <c r="AR52" s="31">
        <f>SQRT((INDEX(US_x,37)-INDEX(US_x,41))^2+(INDEX(US_y,37)-INDEX(US_y,41))^2)</f>
        <v>52.496432259726</v>
      </c>
      <c r="AS52" s="31">
        <f>SQRT((INDEX(US_x,37)-INDEX(US_x,42))^2+(INDEX(US_y,37)-INDEX(US_y,42))^2)</f>
        <v>65.82734386256217</v>
      </c>
      <c r="AT52" s="31">
        <f>SQRT((INDEX(US_x,37)-INDEX(US_x,43))^2+(INDEX(US_y,37)-INDEX(US_y,43))^2)</f>
        <v>5.698596318392808</v>
      </c>
      <c r="AU52" s="31">
        <f>SQRT((INDEX(US_x,37)-INDEX(US_x,44))^2+(INDEX(US_y,37)-INDEX(US_y,44))^2)</f>
        <v>13.794002319849017</v>
      </c>
      <c r="AV52" s="31">
        <f>SQRT((INDEX(US_x,37)-INDEX(US_x,45))^2+(INDEX(US_y,37)-INDEX(US_y,45))^2)</f>
        <v>79.85991798142545</v>
      </c>
      <c r="AW52" s="31">
        <f>SQRT((INDEX(US_x,37)-INDEX(US_x,46))^2+(INDEX(US_y,37)-INDEX(US_y,46))^2)</f>
        <v>18.65054690887107</v>
      </c>
      <c r="AX52" s="31">
        <f>SQRT((INDEX(US_x,37)-INDEX(US_x,47))^2+(INDEX(US_y,37)-INDEX(US_y,47))^2)</f>
        <v>29.03187558529418</v>
      </c>
      <c r="AY52" s="31">
        <f>SQRT((INDEX(US_x,37)-INDEX(US_x,48))^2+(INDEX(US_y,37)-INDEX(US_y,48))^2)</f>
        <v>54.31070796813461</v>
      </c>
      <c r="AZ52" s="31" t="s">
        <v>30</v>
      </c>
      <c r="BA52" s="34">
        <v>77.62</v>
      </c>
      <c r="BB52" s="34">
        <v>45.95</v>
      </c>
    </row>
    <row r="53" spans="3:54" ht="15" thickBot="1" thickTop="1">
      <c r="C53" s="26">
        <v>38</v>
      </c>
      <c r="D53" s="31">
        <f>SQRT((INDEX(US_x,38)-INDEX(US_x,1))^2+(INDEX(US_y,38)-INDEX(US_y,1))^2)</f>
        <v>10.289047574970192</v>
      </c>
      <c r="E53" s="31">
        <f>SQRT((INDEX(US_x,38)-INDEX(US_x,2))^2+(INDEX(US_y,38)-INDEX(US_y,2))^2)</f>
        <v>56.21924670430938</v>
      </c>
      <c r="F53" s="31">
        <f>SQRT((INDEX(US_x,38)-INDEX(US_x,3))^2+(INDEX(US_y,38)-INDEX(US_y,3))^2)</f>
        <v>20.345623608039155</v>
      </c>
      <c r="G53" s="31">
        <f>SQRT((INDEX(US_x,38)-INDEX(US_x,4))^2+(INDEX(US_y,38)-INDEX(US_y,4))^2)</f>
        <v>71.30391994834505</v>
      </c>
      <c r="H53" s="31">
        <f>SQRT((INDEX(US_x,38)-INDEX(US_x,5))^2+(INDEX(US_y,38)-INDEX(US_y,5))^2)</f>
        <v>43.515629376121865</v>
      </c>
      <c r="I53" s="31">
        <f>SQRT((INDEX(US_x,38)-INDEX(US_x,6))^2+(INDEX(US_y,38)-INDEX(US_y,6))^2)</f>
        <v>22.245116317969657</v>
      </c>
      <c r="J53" s="31">
        <f>SQRT((INDEX(US_x,38)-INDEX(US_x,7))^2+(INDEX(US_y,38)-INDEX(US_y,7))^2)</f>
        <v>14.830863090191341</v>
      </c>
      <c r="K53" s="31">
        <f>SQRT((INDEX(US_x,38)-INDEX(US_x,8))^2+(INDEX(US_y,38)-INDEX(US_y,8))^2)</f>
        <v>9.84228123963139</v>
      </c>
      <c r="L53" s="33">
        <f>SQRT((INDEX(US_x,38)-INDEX(US_x,9))^2+(INDEX(US_y,38)-INDEX(US_y,9))^2)</f>
        <v>6.106693049433546</v>
      </c>
      <c r="M53" s="31">
        <f>SQRT((INDEX(US_x,38)-INDEX(US_x,10))^2+(INDEX(US_y,38)-INDEX(US_y,10))^2)</f>
        <v>62.8302673876214</v>
      </c>
      <c r="N53" s="31">
        <f>SQRT((INDEX(US_x,38)-INDEX(US_x,11))^2+(INDEX(US_y,38)-INDEX(US_y,11))^2)</f>
        <v>19.577589228503086</v>
      </c>
      <c r="O53" s="31">
        <f>SQRT((INDEX(US_x,38)-INDEX(US_x,12))^2+(INDEX(US_y,38)-INDEX(US_y,12))^2)</f>
        <v>15.375467472568111</v>
      </c>
      <c r="P53" s="31">
        <f>SQRT((INDEX(US_x,38)-INDEX(US_x,13))^2+(INDEX(US_y,38)-INDEX(US_y,13))^2)</f>
        <v>27.202014631273176</v>
      </c>
      <c r="Q53" s="31">
        <f>SQRT((INDEX(US_x,38)-INDEX(US_x,14))^2+(INDEX(US_y,38)-INDEX(US_y,14))^2)</f>
        <v>27.878452252591075</v>
      </c>
      <c r="R53" s="31">
        <f>SQRT((INDEX(US_x,38)-INDEX(US_x,15))^2+(INDEX(US_y,38)-INDEX(US_y,15))^2)</f>
        <v>11.33466364741363</v>
      </c>
      <c r="S53" s="31">
        <f>SQRT((INDEX(US_x,38)-INDEX(US_x,16))^2+(INDEX(US_y,38)-INDEX(US_y,16))^2)</f>
        <v>20.32695255073913</v>
      </c>
      <c r="T53" s="31">
        <f>SQRT((INDEX(US_x,38)-INDEX(US_x,17))^2+(INDEX(US_y,38)-INDEX(US_y,17))^2)</f>
        <v>29.48145349198374</v>
      </c>
      <c r="U53" s="31">
        <f>SQRT((INDEX(US_x,38)-INDEX(US_x,18))^2+(INDEX(US_y,38)-INDEX(US_y,18))^2)</f>
        <v>13.47818978943389</v>
      </c>
      <c r="V53" s="31">
        <f>SQRT((INDEX(US_x,38)-INDEX(US_x,19))^2+(INDEX(US_y,38)-INDEX(US_y,19))^2)</f>
        <v>25.02207225631002</v>
      </c>
      <c r="W53" s="31">
        <f>SQRT((INDEX(US_x,38)-INDEX(US_x,20))^2+(INDEX(US_y,38)-INDEX(US_y,20))^2)</f>
        <v>19.90113815840692</v>
      </c>
      <c r="X53" s="31">
        <f>SQRT((INDEX(US_x,38)-INDEX(US_x,21))^2+(INDEX(US_y,38)-INDEX(US_y,21))^2)</f>
        <v>31.189591212454197</v>
      </c>
      <c r="Y53" s="31">
        <f>SQRT((INDEX(US_x,38)-INDEX(US_x,22))^2+(INDEX(US_y,38)-INDEX(US_y,22))^2)</f>
        <v>17.183238926349134</v>
      </c>
      <c r="Z53" s="31">
        <f>SQRT((INDEX(US_x,38)-INDEX(US_x,23))^2+(INDEX(US_y,38)-INDEX(US_y,23))^2)</f>
        <v>21.93876249928423</v>
      </c>
      <c r="AA53" s="31">
        <f>SQRT((INDEX(US_x,38)-INDEX(US_x,24))^2+(INDEX(US_y,38)-INDEX(US_y,24))^2)</f>
        <v>57.86648943905273</v>
      </c>
      <c r="AB53" s="31">
        <f>SQRT((INDEX(US_x,38)-INDEX(US_x,25))^2+(INDEX(US_y,38)-INDEX(US_y,25))^2)</f>
        <v>30.859859040507622</v>
      </c>
      <c r="AC53" s="31">
        <f>SQRT((INDEX(US_x,38)-INDEX(US_x,26))^2+(INDEX(US_y,38)-INDEX(US_y,26))^2)</f>
        <v>68.30134186090343</v>
      </c>
      <c r="AD53" s="31">
        <f>SQRT((INDEX(US_x,38)-INDEX(US_x,27))^2+(INDEX(US_y,38)-INDEX(US_y,27))^2)</f>
        <v>25.801538713805417</v>
      </c>
      <c r="AE53" s="31">
        <f>SQRT((INDEX(US_x,38)-INDEX(US_x,28))^2+(INDEX(US_y,38)-INDEX(US_y,28))^2)</f>
        <v>17.43378903164771</v>
      </c>
      <c r="AF53" s="31">
        <f>SQRT((INDEX(US_x,38)-INDEX(US_x,29))^2+(INDEX(US_y,38)-INDEX(US_y,29))^2)</f>
        <v>44.69940603632223</v>
      </c>
      <c r="AG53" s="31">
        <f>SQRT((INDEX(US_x,38)-INDEX(US_x,30))^2+(INDEX(US_y,38)-INDEX(US_y,30))^2)</f>
        <v>22.623536416749705</v>
      </c>
      <c r="AH53" s="31">
        <f>SQRT((INDEX(US_x,38)-INDEX(US_x,31))^2+(INDEX(US_y,38)-INDEX(US_y,31))^2)</f>
        <v>5.7763137033925025</v>
      </c>
      <c r="AI53" s="31">
        <f>SQRT((INDEX(US_x,38)-INDEX(US_x,32))^2+(INDEX(US_y,38)-INDEX(US_y,32))^2)</f>
        <v>42.80575895834578</v>
      </c>
      <c r="AJ53" s="31">
        <f>SQRT((INDEX(US_x,38)-INDEX(US_x,33))^2+(INDEX(US_y,38)-INDEX(US_y,33))^2)</f>
        <v>13.402227426812303</v>
      </c>
      <c r="AK53" s="31">
        <f>SQRT((INDEX(US_x,38)-INDEX(US_x,34))^2+(INDEX(US_y,38)-INDEX(US_y,34))^2)</f>
        <v>29.74016139835156</v>
      </c>
      <c r="AL53" s="31">
        <f>SQRT((INDEX(US_x,38)-INDEX(US_x,35))^2+(INDEX(US_y,38)-INDEX(US_y,35))^2)</f>
        <v>73.69053195628322</v>
      </c>
      <c r="AM53" s="31">
        <f>SQRT((INDEX(US_x,38)-INDEX(US_x,36))^2+(INDEX(US_y,38)-INDEX(US_y,36))^2)</f>
        <v>15.417396018783455</v>
      </c>
      <c r="AN53" s="31">
        <f>SQRT((INDEX(US_x,38)-INDEX(US_x,37))^2+(INDEX(US_y,38)-INDEX(US_y,37))^2)</f>
        <v>23.79937184044991</v>
      </c>
      <c r="AO53" s="31" t="s">
        <v>30</v>
      </c>
      <c r="AP53" s="31">
        <f>SQRT((INDEX(US_x,38)-INDEX(US_x,39))^2+(INDEX(US_y,38)-INDEX(US_y,39))^2)</f>
        <v>39.51542610171374</v>
      </c>
      <c r="AQ53" s="31">
        <f>SQRT((INDEX(US_x,38)-INDEX(US_x,40))^2+(INDEX(US_y,38)-INDEX(US_y,40))^2)</f>
        <v>11.262868195979213</v>
      </c>
      <c r="AR53" s="31">
        <f>SQRT((INDEX(US_x,38)-INDEX(US_x,41))^2+(INDEX(US_y,38)-INDEX(US_y,41))^2)</f>
        <v>31.96946199109394</v>
      </c>
      <c r="AS53" s="31">
        <f>SQRT((INDEX(US_x,38)-INDEX(US_x,42))^2+(INDEX(US_y,38)-INDEX(US_y,42))^2)</f>
        <v>55.174451515171405</v>
      </c>
      <c r="AT53" s="31">
        <f>SQRT((INDEX(US_x,38)-INDEX(US_x,43))^2+(INDEX(US_y,38)-INDEX(US_y,43))^2)</f>
        <v>26.57361285184986</v>
      </c>
      <c r="AU53" s="31">
        <f>SQRT((INDEX(US_x,38)-INDEX(US_x,44))^2+(INDEX(US_y,38)-INDEX(US_y,44))^2)</f>
        <v>10.018552789699717</v>
      </c>
      <c r="AV53" s="31">
        <f>SQRT((INDEX(US_x,38)-INDEX(US_x,45))^2+(INDEX(US_y,38)-INDEX(US_y,45))^2)</f>
        <v>73.9462967294509</v>
      </c>
      <c r="AW53" s="31">
        <f>SQRT((INDEX(US_x,38)-INDEX(US_x,46))^2+(INDEX(US_y,38)-INDEX(US_y,46))^2)</f>
        <v>9.503820284496129</v>
      </c>
      <c r="AX53" s="31">
        <f>SQRT((INDEX(US_x,38)-INDEX(US_x,47))^2+(INDEX(US_y,38)-INDEX(US_y,47))^2)</f>
        <v>24.28794968703616</v>
      </c>
      <c r="AY53" s="31">
        <f>SQRT((INDEX(US_x,38)-INDEX(US_x,48))^2+(INDEX(US_y,38)-INDEX(US_y,48))^2)</f>
        <v>43.794251905929386</v>
      </c>
      <c r="AZ53" s="31" t="s">
        <v>30</v>
      </c>
      <c r="BA53" s="34">
        <v>73.92</v>
      </c>
      <c r="BB53" s="34">
        <v>22.44</v>
      </c>
    </row>
    <row r="54" spans="3:54" ht="15" thickBot="1" thickTop="1">
      <c r="C54" s="26">
        <v>39</v>
      </c>
      <c r="D54" s="31">
        <f>SQRT((INDEX(US_x,39)-INDEX(US_x,1))^2+(INDEX(US_y,39)-INDEX(US_y,1))^2)</f>
        <v>35.29288313527247</v>
      </c>
      <c r="E54" s="31">
        <f>SQRT((INDEX(US_x,39)-INDEX(US_x,2))^2+(INDEX(US_y,39)-INDEX(US_y,2))^2)</f>
        <v>30.84114459613975</v>
      </c>
      <c r="F54" s="31">
        <f>SQRT((INDEX(US_x,39)-INDEX(US_x,3))^2+(INDEX(US_y,39)-INDEX(US_y,3))^2)</f>
        <v>24.81963134295108</v>
      </c>
      <c r="G54" s="31">
        <f>SQRT((INDEX(US_x,39)-INDEX(US_x,4))^2+(INDEX(US_y,39)-INDEX(US_y,4))^2)</f>
        <v>36.68382886232025</v>
      </c>
      <c r="H54" s="31">
        <f>SQRT((INDEX(US_x,39)-INDEX(US_x,5))^2+(INDEX(US_y,39)-INDEX(US_y,5))^2)</f>
        <v>12.513308914911356</v>
      </c>
      <c r="I54" s="31">
        <f>SQRT((INDEX(US_x,39)-INDEX(US_x,6))^2+(INDEX(US_y,39)-INDEX(US_y,6))^2)</f>
        <v>44.34074537037012</v>
      </c>
      <c r="J54" s="31">
        <f>SQRT((INDEX(US_x,39)-INDEX(US_x,7))^2+(INDEX(US_y,39)-INDEX(US_y,7))^2)</f>
        <v>41.840996642049525</v>
      </c>
      <c r="K54" s="31">
        <f>SQRT((INDEX(US_x,39)-INDEX(US_x,8))^2+(INDEX(US_y,39)-INDEX(US_y,8))^2)</f>
        <v>40.90560108347022</v>
      </c>
      <c r="L54" s="31">
        <f>SQRT((INDEX(US_x,39)-INDEX(US_x,9))^2+(INDEX(US_y,39)-INDEX(US_y,9))^2)</f>
        <v>35.42108411666701</v>
      </c>
      <c r="M54" s="31">
        <f>SQRT((INDEX(US_x,39)-INDEX(US_x,10))^2+(INDEX(US_y,39)-INDEX(US_y,10))^2)</f>
        <v>24.96954945528654</v>
      </c>
      <c r="N54" s="31">
        <f>SQRT((INDEX(US_x,39)-INDEX(US_x,11))^2+(INDEX(US_y,39)-INDEX(US_y,11))^2)</f>
        <v>19.96493175545561</v>
      </c>
      <c r="O54" s="31">
        <f>SQRT((INDEX(US_x,39)-INDEX(US_x,12))^2+(INDEX(US_y,39)-INDEX(US_y,12))^2)</f>
        <v>25.053863973447285</v>
      </c>
      <c r="P54" s="31">
        <f>SQRT((INDEX(US_x,39)-INDEX(US_x,13))^2+(INDEX(US_y,39)-INDEX(US_y,13))^2)</f>
        <v>12.317909725274006</v>
      </c>
      <c r="Q54" s="31">
        <f>SQRT((INDEX(US_x,39)-INDEX(US_x,14))^2+(INDEX(US_y,39)-INDEX(US_y,14))^2)</f>
        <v>13.794274174453683</v>
      </c>
      <c r="R54" s="31">
        <f>SQRT((INDEX(US_x,39)-INDEX(US_x,15))^2+(INDEX(US_y,39)-INDEX(US_y,15))^2)</f>
        <v>28.66720251437171</v>
      </c>
      <c r="S54" s="31">
        <f>SQRT((INDEX(US_x,39)-INDEX(US_x,16))^2+(INDEX(US_y,39)-INDEX(US_y,16))^2)</f>
        <v>33.97900675417102</v>
      </c>
      <c r="T54" s="31">
        <f>SQRT((INDEX(US_x,39)-INDEX(US_x,17))^2+(INDEX(US_y,39)-INDEX(US_y,17))^2)</f>
        <v>47.516475037611954</v>
      </c>
      <c r="U54" s="31">
        <f>SQRT((INDEX(US_x,39)-INDEX(US_x,18))^2+(INDEX(US_y,39)-INDEX(US_y,18))^2)</f>
        <v>40.501364174555896</v>
      </c>
      <c r="V54" s="31">
        <f>SQRT((INDEX(US_x,39)-INDEX(US_x,19))^2+(INDEX(US_y,39)-INDEX(US_y,19))^2)</f>
        <v>46.511009449376594</v>
      </c>
      <c r="W54" s="31">
        <f>SQRT((INDEX(US_x,39)-INDEX(US_x,20))^2+(INDEX(US_y,39)-INDEX(US_y,20))^2)</f>
        <v>25.244563771235974</v>
      </c>
      <c r="X54" s="31">
        <f>SQRT((INDEX(US_x,39)-INDEX(US_x,21))^2+(INDEX(US_y,39)-INDEX(US_y,21))^2)</f>
        <v>11.356060056199064</v>
      </c>
      <c r="Y54" s="31">
        <f>SQRT((INDEX(US_x,39)-INDEX(US_x,22))^2+(INDEX(US_y,39)-INDEX(US_y,22))^2)</f>
        <v>31.31078089093275</v>
      </c>
      <c r="Z54" s="31">
        <f>SQRT((INDEX(US_x,39)-INDEX(US_x,23))^2+(INDEX(US_y,39)-INDEX(US_y,23))^2)</f>
        <v>18.329849972108335</v>
      </c>
      <c r="AA54" s="31">
        <f>SQRT((INDEX(US_x,39)-INDEX(US_x,24))^2+(INDEX(US_y,39)-INDEX(US_y,24))^2)</f>
        <v>18.51108046549418</v>
      </c>
      <c r="AB54" s="31">
        <f>SQRT((INDEX(US_x,39)-INDEX(US_x,25))^2+(INDEX(US_y,39)-INDEX(US_y,25))^2)</f>
        <v>9.666322982396148</v>
      </c>
      <c r="AC54" s="31">
        <f>SQRT((INDEX(US_x,39)-INDEX(US_x,26))^2+(INDEX(US_y,39)-INDEX(US_y,26))^2)</f>
        <v>33.4870273389562</v>
      </c>
      <c r="AD54" s="31">
        <f>SQRT((INDEX(US_x,39)-INDEX(US_x,27))^2+(INDEX(US_y,39)-INDEX(US_y,27))^2)</f>
        <v>45.31350902324824</v>
      </c>
      <c r="AE54" s="31">
        <f>SQRT((INDEX(US_x,39)-INDEX(US_x,28))^2+(INDEX(US_y,39)-INDEX(US_y,28))^2)</f>
        <v>42.173869872232494</v>
      </c>
      <c r="AF54" s="31">
        <f>SQRT((INDEX(US_x,39)-INDEX(US_x,29))^2+(INDEX(US_y,39)-INDEX(US_y,29))^2)</f>
        <v>20.95609219296384</v>
      </c>
      <c r="AG54" s="31">
        <f>SQRT((INDEX(US_x,39)-INDEX(US_x,30))^2+(INDEX(US_y,39)-INDEX(US_y,30))^2)</f>
        <v>42.15892906609464</v>
      </c>
      <c r="AH54" s="31">
        <f>SQRT((INDEX(US_x,39)-INDEX(US_x,31))^2+(INDEX(US_y,39)-INDEX(US_y,31))^2)</f>
        <v>40.61096526801598</v>
      </c>
      <c r="AI54" s="31">
        <f>SQRT((INDEX(US_x,39)-INDEX(US_x,32))^2+(INDEX(US_y,39)-INDEX(US_y,32))^2)</f>
        <v>5.326321432283259</v>
      </c>
      <c r="AJ54" s="31">
        <f>SQRT((INDEX(US_x,39)-INDEX(US_x,33))^2+(INDEX(US_y,39)-INDEX(US_y,33))^2)</f>
        <v>29.62043213729334</v>
      </c>
      <c r="AK54" s="31">
        <f>SQRT((INDEX(US_x,39)-INDEX(US_x,34))^2+(INDEX(US_y,39)-INDEX(US_y,34))^2)</f>
        <v>19.807920133118465</v>
      </c>
      <c r="AL54" s="31">
        <f>SQRT((INDEX(US_x,39)-INDEX(US_x,35))^2+(INDEX(US_y,39)-INDEX(US_y,35))^2)</f>
        <v>35.148669960611606</v>
      </c>
      <c r="AM54" s="31">
        <f>SQRT((INDEX(US_x,39)-INDEX(US_x,36))^2+(INDEX(US_y,39)-INDEX(US_y,36))^2)</f>
        <v>38.82035033329813</v>
      </c>
      <c r="AN54" s="31">
        <f>SQRT((INDEX(US_x,39)-INDEX(US_x,37))^2+(INDEX(US_y,39)-INDEX(US_y,37))^2)</f>
        <v>46.281789075185934</v>
      </c>
      <c r="AO54" s="31">
        <f>SQRT((INDEX(US_x,39)-INDEX(US_x,38))^2+(INDEX(US_y,39)-INDEX(US_y,38))^2)</f>
        <v>39.51542610171374</v>
      </c>
      <c r="AP54" s="31" t="s">
        <v>30</v>
      </c>
      <c r="AQ54" s="31">
        <f>SQRT((INDEX(US_x,39)-INDEX(US_x,40))^2+(INDEX(US_y,39)-INDEX(US_y,40))^2)</f>
        <v>28.721081107785615</v>
      </c>
      <c r="AR54" s="31">
        <f>SQRT((INDEX(US_x,39)-INDEX(US_x,41))^2+(INDEX(US_y,39)-INDEX(US_y,41))^2)</f>
        <v>30.79565229054257</v>
      </c>
      <c r="AS54" s="31">
        <f>SQRT((INDEX(US_x,39)-INDEX(US_x,42))^2+(INDEX(US_y,39)-INDEX(US_y,42))^2)</f>
        <v>20.11522806234123</v>
      </c>
      <c r="AT54" s="31">
        <f>SQRT((INDEX(US_x,39)-INDEX(US_x,43))^2+(INDEX(US_y,39)-INDEX(US_y,43))^2)</f>
        <v>43.237155318082614</v>
      </c>
      <c r="AU54" s="31">
        <f>SQRT((INDEX(US_x,39)-INDEX(US_x,44))^2+(INDEX(US_y,39)-INDEX(US_y,44))^2)</f>
        <v>40.45828098177183</v>
      </c>
      <c r="AV54" s="31">
        <f>SQRT((INDEX(US_x,39)-INDEX(US_x,45))^2+(INDEX(US_y,39)-INDEX(US_y,45))^2)</f>
        <v>34.77367538814383</v>
      </c>
      <c r="AW54" s="31">
        <f>SQRT((INDEX(US_x,39)-INDEX(US_x,46))^2+(INDEX(US_y,39)-INDEX(US_y,46))^2)</f>
        <v>33.27044484223196</v>
      </c>
      <c r="AX54" s="31">
        <f>SQRT((INDEX(US_x,39)-INDEX(US_x,47))^2+(INDEX(US_y,39)-INDEX(US_y,47))^2)</f>
        <v>17.542639482130387</v>
      </c>
      <c r="AY54" s="33">
        <f>SQRT((INDEX(US_x,39)-INDEX(US_x,48))^2+(INDEX(US_y,39)-INDEX(US_y,48))^2)</f>
        <v>9.996449369651206</v>
      </c>
      <c r="AZ54" s="31" t="s">
        <v>30</v>
      </c>
      <c r="BA54" s="34">
        <v>34.84</v>
      </c>
      <c r="BB54" s="34">
        <v>28.29</v>
      </c>
    </row>
    <row r="55" spans="3:54" ht="15" thickBot="1" thickTop="1">
      <c r="C55" s="26">
        <v>40</v>
      </c>
      <c r="D55" s="31">
        <f>SQRT((INDEX(US_x,40)-INDEX(US_x,1))^2+(INDEX(US_y,40)-INDEX(US_y,1))^2)</f>
        <v>8.243136538963798</v>
      </c>
      <c r="E55" s="31">
        <f>SQRT((INDEX(US_x,40)-INDEX(US_x,2))^2+(INDEX(US_y,40)-INDEX(US_y,2))^2)</f>
        <v>45.630109576901084</v>
      </c>
      <c r="F55" s="31">
        <f>SQRT((INDEX(US_x,40)-INDEX(US_x,3))^2+(INDEX(US_y,40)-INDEX(US_y,3))^2)</f>
        <v>10.269381675641434</v>
      </c>
      <c r="G55" s="31">
        <f>SQRT((INDEX(US_x,40)-INDEX(US_x,4))^2+(INDEX(US_y,40)-INDEX(US_y,4))^2)</f>
        <v>60.109347026897574</v>
      </c>
      <c r="H55" s="31">
        <f>SQRT((INDEX(US_x,40)-INDEX(US_x,5))^2+(INDEX(US_y,40)-INDEX(US_y,5))^2)</f>
        <v>32.26577443669995</v>
      </c>
      <c r="I55" s="31">
        <f>SQRT((INDEX(US_x,40)-INDEX(US_x,6))^2+(INDEX(US_y,40)-INDEX(US_y,6))^2)</f>
        <v>26.802794630411206</v>
      </c>
      <c r="J55" s="31">
        <f>SQRT((INDEX(US_x,40)-INDEX(US_x,7))^2+(INDEX(US_y,40)-INDEX(US_y,7))^2)</f>
        <v>20.481125457357074</v>
      </c>
      <c r="K55" s="31">
        <f>SQRT((INDEX(US_x,40)-INDEX(US_x,8))^2+(INDEX(US_y,40)-INDEX(US_y,8))^2)</f>
        <v>13.189863532273566</v>
      </c>
      <c r="L55" s="31">
        <f>SQRT((INDEX(US_x,40)-INDEX(US_x,9))^2+(INDEX(US_y,40)-INDEX(US_y,9))^2)</f>
        <v>6.750029629564602</v>
      </c>
      <c r="M55" s="31">
        <f>SQRT((INDEX(US_x,40)-INDEX(US_x,10))^2+(INDEX(US_y,40)-INDEX(US_y,10))^2)</f>
        <v>51.597167557919306</v>
      </c>
      <c r="N55" s="31">
        <f>SQRT((INDEX(US_x,40)-INDEX(US_x,11))^2+(INDEX(US_y,40)-INDEX(US_y,11))^2)</f>
        <v>9.30940384772301</v>
      </c>
      <c r="O55" s="31">
        <f>SQRT((INDEX(US_x,40)-INDEX(US_x,12))^2+(INDEX(US_y,40)-INDEX(US_y,12))^2)</f>
        <v>7.900430368024263</v>
      </c>
      <c r="P55" s="31">
        <f>SQRT((INDEX(US_x,40)-INDEX(US_x,13))^2+(INDEX(US_y,40)-INDEX(US_y,13))^2)</f>
        <v>16.55217810440668</v>
      </c>
      <c r="Q55" s="31">
        <f>SQRT((INDEX(US_x,40)-INDEX(US_x,14))^2+(INDEX(US_y,40)-INDEX(US_y,14))^2)</f>
        <v>16.620111311299937</v>
      </c>
      <c r="R55" s="33">
        <f>SQRT((INDEX(US_x,40)-INDEX(US_x,15))^2+(INDEX(US_y,40)-INDEX(US_y,15))^2)</f>
        <v>5.53244972864643</v>
      </c>
      <c r="S55" s="31">
        <f>SQRT((INDEX(US_x,40)-INDEX(US_x,16))^2+(INDEX(US_y,40)-INDEX(US_y,16))^2)</f>
        <v>14.751447386612611</v>
      </c>
      <c r="T55" s="31">
        <f>SQRT((INDEX(US_x,40)-INDEX(US_x,17))^2+(INDEX(US_y,40)-INDEX(US_y,17))^2)</f>
        <v>33.30465583067929</v>
      </c>
      <c r="U55" s="31">
        <f>SQRT((INDEX(US_x,40)-INDEX(US_x,18))^2+(INDEX(US_y,40)-INDEX(US_y,18))^2)</f>
        <v>18.802941259281752</v>
      </c>
      <c r="V55" s="31">
        <f>SQRT((INDEX(US_x,40)-INDEX(US_x,19))^2+(INDEX(US_y,40)-INDEX(US_y,19))^2)</f>
        <v>29.719126837779058</v>
      </c>
      <c r="W55" s="31">
        <f>SQRT((INDEX(US_x,40)-INDEX(US_x,20))^2+(INDEX(US_y,40)-INDEX(US_y,20))^2)</f>
        <v>14.734710719929318</v>
      </c>
      <c r="X55" s="31">
        <f>SQRT((INDEX(US_x,40)-INDEX(US_x,21))^2+(INDEX(US_y,40)-INDEX(US_y,21))^2)</f>
        <v>21.72487054046583</v>
      </c>
      <c r="Y55" s="31">
        <f>SQRT((INDEX(US_x,40)-INDEX(US_x,22))^2+(INDEX(US_y,40)-INDEX(US_y,22))^2)</f>
        <v>10.390019249260323</v>
      </c>
      <c r="Z55" s="31">
        <f>SQRT((INDEX(US_x,40)-INDEX(US_x,23))^2+(INDEX(US_y,40)-INDEX(US_y,23))^2)</f>
        <v>10.730298225119373</v>
      </c>
      <c r="AA55" s="31">
        <f>SQRT((INDEX(US_x,40)-INDEX(US_x,24))^2+(INDEX(US_y,40)-INDEX(US_y,24))^2)</f>
        <v>46.86717401337529</v>
      </c>
      <c r="AB55" s="31">
        <f>SQRT((INDEX(US_x,40)-INDEX(US_x,25))^2+(INDEX(US_y,40)-INDEX(US_y,25))^2)</f>
        <v>19.72882409065477</v>
      </c>
      <c r="AC55" s="31">
        <f>SQRT((INDEX(US_x,40)-INDEX(US_x,26))^2+(INDEX(US_y,40)-INDEX(US_y,26))^2)</f>
        <v>57.08752665863183</v>
      </c>
      <c r="AD55" s="31">
        <f>SQRT((INDEX(US_x,40)-INDEX(US_x,27))^2+(INDEX(US_y,40)-INDEX(US_y,27))^2)</f>
        <v>29.75317125954811</v>
      </c>
      <c r="AE55" s="31">
        <f>SQRT((INDEX(US_x,40)-INDEX(US_x,28))^2+(INDEX(US_y,40)-INDEX(US_y,28))^2)</f>
        <v>22.40673113151492</v>
      </c>
      <c r="AF55" s="31">
        <f>SQRT((INDEX(US_x,40)-INDEX(US_x,29))^2+(INDEX(US_y,40)-INDEX(US_y,29))^2)</f>
        <v>33.873997402137235</v>
      </c>
      <c r="AG55" s="31">
        <f>SQRT((INDEX(US_x,40)-INDEX(US_x,30))^2+(INDEX(US_y,40)-INDEX(US_y,30))^2)</f>
        <v>26.05801604113406</v>
      </c>
      <c r="AH55" s="31">
        <f>SQRT((INDEX(US_x,40)-INDEX(US_x,31))^2+(INDEX(US_y,40)-INDEX(US_y,31))^2)</f>
        <v>14.375785195946692</v>
      </c>
      <c r="AI55" s="31">
        <f>SQRT((INDEX(US_x,40)-INDEX(US_x,32))^2+(INDEX(US_y,40)-INDEX(US_y,32))^2)</f>
        <v>32.44314411397268</v>
      </c>
      <c r="AJ55" s="31">
        <f>SQRT((INDEX(US_x,40)-INDEX(US_x,33))^2+(INDEX(US_y,40)-INDEX(US_y,33))^2)</f>
        <v>10.495089327871392</v>
      </c>
      <c r="AK55" s="31">
        <f>SQRT((INDEX(US_x,40)-INDEX(US_x,34))^2+(INDEX(US_y,40)-INDEX(US_y,34))^2)</f>
        <v>19.088053855749678</v>
      </c>
      <c r="AL55" s="31">
        <f>SQRT((INDEX(US_x,40)-INDEX(US_x,35))^2+(INDEX(US_y,40)-INDEX(US_y,35))^2)</f>
        <v>62.48525025956126</v>
      </c>
      <c r="AM55" s="31">
        <f>SQRT((INDEX(US_x,40)-INDEX(US_x,36))^2+(INDEX(US_y,40)-INDEX(US_y,36))^2)</f>
        <v>19.12397709682795</v>
      </c>
      <c r="AN55" s="31">
        <f>SQRT((INDEX(US_x,40)-INDEX(US_x,37))^2+(INDEX(US_y,40)-INDEX(US_y,37))^2)</f>
        <v>28.76574525368672</v>
      </c>
      <c r="AO55" s="31">
        <f>SQRT((INDEX(US_x,40)-INDEX(US_x,38))^2+(INDEX(US_y,40)-INDEX(US_y,38))^2)</f>
        <v>11.262868195979213</v>
      </c>
      <c r="AP55" s="31">
        <f>SQRT((INDEX(US_x,40)-INDEX(US_x,39))^2+(INDEX(US_y,40)-INDEX(US_y,39))^2)</f>
        <v>28.721081107785615</v>
      </c>
      <c r="AQ55" s="31" t="s">
        <v>30</v>
      </c>
      <c r="AR55" s="31">
        <f>SQRT((INDEX(US_x,40)-INDEX(US_x,41))^2+(INDEX(US_y,40)-INDEX(US_y,41))^2)</f>
        <v>23.73567146722418</v>
      </c>
      <c r="AS55" s="31">
        <f>SQRT((INDEX(US_x,40)-INDEX(US_x,42))^2+(INDEX(US_y,40)-INDEX(US_y,42))^2)</f>
        <v>43.91626236373036</v>
      </c>
      <c r="AT55" s="31">
        <f>SQRT((INDEX(US_x,40)-INDEX(US_x,43))^2+(INDEX(US_y,40)-INDEX(US_y,43))^2)</f>
        <v>29.424100665950693</v>
      </c>
      <c r="AU55" s="31">
        <f>SQRT((INDEX(US_x,40)-INDEX(US_x,44))^2+(INDEX(US_y,40)-INDEX(US_y,44))^2)</f>
        <v>16.587525433288715</v>
      </c>
      <c r="AV55" s="31">
        <f>SQRT((INDEX(US_x,40)-INDEX(US_x,45))^2+(INDEX(US_y,40)-INDEX(US_y,45))^2)</f>
        <v>62.843298767649046</v>
      </c>
      <c r="AW55" s="31">
        <f>SQRT((INDEX(US_x,40)-INDEX(US_x,46))^2+(INDEX(US_y,40)-INDEX(US_y,46))^2)</f>
        <v>10.116619988909333</v>
      </c>
      <c r="AX55" s="31">
        <f>SQRT((INDEX(US_x,40)-INDEX(US_x,47))^2+(INDEX(US_y,40)-INDEX(US_y,47))^2)</f>
        <v>15.622179745477258</v>
      </c>
      <c r="AY55" s="31">
        <f>SQRT((INDEX(US_x,40)-INDEX(US_x,48))^2+(INDEX(US_y,40)-INDEX(US_y,48))^2)</f>
        <v>32.53729091365783</v>
      </c>
      <c r="AZ55" s="31" t="s">
        <v>30</v>
      </c>
      <c r="BA55" s="34">
        <v>62.71</v>
      </c>
      <c r="BB55" s="34">
        <v>21.35</v>
      </c>
    </row>
    <row r="56" spans="3:54" ht="15" thickBot="1" thickTop="1">
      <c r="C56" s="26">
        <v>41</v>
      </c>
      <c r="D56" s="31">
        <f>SQRT((INDEX(US_x,41)-INDEX(US_x,1))^2+(INDEX(US_y,41)-INDEX(US_y,1))^2)</f>
        <v>21.870002286236737</v>
      </c>
      <c r="E56" s="31">
        <f>SQRT((INDEX(US_x,41)-INDEX(US_x,2))^2+(INDEX(US_y,41)-INDEX(US_y,2))^2)</f>
        <v>27.550687831703954</v>
      </c>
      <c r="F56" s="31">
        <f>SQRT((INDEX(US_x,41)-INDEX(US_x,3))^2+(INDEX(US_y,41)-INDEX(US_y,3))^2)</f>
        <v>13.94876697059636</v>
      </c>
      <c r="G56" s="31">
        <f>SQRT((INDEX(US_x,41)-INDEX(US_x,4))^2+(INDEX(US_y,41)-INDEX(US_y,4))^2)</f>
        <v>46.37289833512674</v>
      </c>
      <c r="H56" s="31">
        <f>SQRT((INDEX(US_x,41)-INDEX(US_x,5))^2+(INDEX(US_y,41)-INDEX(US_y,5))^2)</f>
        <v>24.25577250882767</v>
      </c>
      <c r="I56" s="31">
        <f>SQRT((INDEX(US_x,41)-INDEX(US_x,6))^2+(INDEX(US_y,41)-INDEX(US_y,6))^2)</f>
        <v>50.52252270027695</v>
      </c>
      <c r="J56" s="31">
        <f>SQRT((INDEX(US_x,41)-INDEX(US_x,7))^2+(INDEX(US_y,41)-INDEX(US_y,7))^2)</f>
        <v>44.14240591540067</v>
      </c>
      <c r="K56" s="31">
        <f>SQRT((INDEX(US_x,41)-INDEX(US_x,8))^2+(INDEX(US_y,41)-INDEX(US_y,8))^2)</f>
        <v>25.437735748293324</v>
      </c>
      <c r="L56" s="31">
        <f>SQRT((INDEX(US_x,41)-INDEX(US_x,9))^2+(INDEX(US_y,41)-INDEX(US_y,9))^2)</f>
        <v>25.893230775629373</v>
      </c>
      <c r="M56" s="31">
        <f>SQRT((INDEX(US_x,41)-INDEX(US_x,10))^2+(INDEX(US_y,41)-INDEX(US_y,10))^2)</f>
        <v>43.17917322043117</v>
      </c>
      <c r="N56" s="31">
        <f>SQRT((INDEX(US_x,41)-INDEX(US_x,11))^2+(INDEX(US_y,41)-INDEX(US_y,11))^2)</f>
        <v>25.128559449359607</v>
      </c>
      <c r="O56" s="31">
        <f>SQRT((INDEX(US_x,41)-INDEX(US_x,12))^2+(INDEX(US_y,41)-INDEX(US_y,12))^2)</f>
        <v>29.115811855416297</v>
      </c>
      <c r="P56" s="31">
        <f>SQRT((INDEX(US_x,41)-INDEX(US_x,13))^2+(INDEX(US_y,41)-INDEX(US_y,13))^2)</f>
        <v>25.493130447240095</v>
      </c>
      <c r="Q56" s="31">
        <f>SQRT((INDEX(US_x,41)-INDEX(US_x,14))^2+(INDEX(US_y,41)-INDEX(US_y,14))^2)</f>
        <v>19.313606602600153</v>
      </c>
      <c r="R56" s="31">
        <f>SQRT((INDEX(US_x,41)-INDEX(US_x,15))^2+(INDEX(US_y,41)-INDEX(US_y,15))^2)</f>
        <v>28.847691415432188</v>
      </c>
      <c r="S56" s="31">
        <f>SQRT((INDEX(US_x,41)-INDEX(US_x,16))^2+(INDEX(US_y,41)-INDEX(US_y,16))^2)</f>
        <v>12.404535460870752</v>
      </c>
      <c r="T56" s="31">
        <f>SQRT((INDEX(US_x,41)-INDEX(US_x,17))^2+(INDEX(US_y,41)-INDEX(US_y,17))^2)</f>
        <v>56.86634505575332</v>
      </c>
      <c r="U56" s="31">
        <f>SQRT((INDEX(US_x,41)-INDEX(US_x,18))^2+(INDEX(US_y,41)-INDEX(US_y,18))^2)</f>
        <v>42.47120083068055</v>
      </c>
      <c r="V56" s="31">
        <f>SQRT((INDEX(US_x,41)-INDEX(US_x,19))^2+(INDEX(US_y,41)-INDEX(US_y,19))^2)</f>
        <v>53.432104581421825</v>
      </c>
      <c r="W56" s="31">
        <f>SQRT((INDEX(US_x,41)-INDEX(US_x,20))^2+(INDEX(US_y,41)-INDEX(US_y,20))^2)</f>
        <v>35.412520384745285</v>
      </c>
      <c r="X56" s="31">
        <f>SQRT((INDEX(US_x,41)-INDEX(US_x,21))^2+(INDEX(US_y,41)-INDEX(US_y,21))^2)</f>
        <v>32.67789007876733</v>
      </c>
      <c r="Y56" s="31">
        <f>SQRT((INDEX(US_x,41)-INDEX(US_x,22))^2+(INDEX(US_y,41)-INDEX(US_y,22))^2)</f>
        <v>14.78633152610883</v>
      </c>
      <c r="Z56" s="31">
        <f>SQRT((INDEX(US_x,41)-INDEX(US_x,23))^2+(INDEX(US_y,41)-INDEX(US_y,23))^2)</f>
        <v>20.53182894921931</v>
      </c>
      <c r="AA56" s="31">
        <f>SQRT((INDEX(US_x,41)-INDEX(US_x,24))^2+(INDEX(US_y,41)-INDEX(US_y,24))^2)</f>
        <v>42.8479462751717</v>
      </c>
      <c r="AB56" s="31">
        <f>SQRT((INDEX(US_x,41)-INDEX(US_x,25))^2+(INDEX(US_y,41)-INDEX(US_y,25))^2)</f>
        <v>22.849087509132616</v>
      </c>
      <c r="AC56" s="31">
        <f>SQRT((INDEX(US_x,41)-INDEX(US_x,26))^2+(INDEX(US_y,41)-INDEX(US_y,26))^2)</f>
        <v>43.961410350442584</v>
      </c>
      <c r="AD56" s="31">
        <f>SQRT((INDEX(US_x,41)-INDEX(US_x,27))^2+(INDEX(US_y,41)-INDEX(US_y,27))^2)</f>
        <v>53.38346279513909</v>
      </c>
      <c r="AE56" s="31">
        <f>SQRT((INDEX(US_x,41)-INDEX(US_x,28))^2+(INDEX(US_y,41)-INDEX(US_y,28))^2)</f>
        <v>46.13720516026085</v>
      </c>
      <c r="AF56" s="33">
        <f>SQRT((INDEX(US_x,41)-INDEX(US_x,29))^2+(INDEX(US_y,41)-INDEX(US_y,29))^2)</f>
        <v>19.10057590754792</v>
      </c>
      <c r="AG56" s="31">
        <f>SQRT((INDEX(US_x,41)-INDEX(US_x,30))^2+(INDEX(US_y,41)-INDEX(US_y,30))^2)</f>
        <v>49.66351276339603</v>
      </c>
      <c r="AH56" s="31">
        <f>SQRT((INDEX(US_x,41)-INDEX(US_x,31))^2+(INDEX(US_y,41)-INDEX(US_y,31))^2)</f>
        <v>36.92495226808019</v>
      </c>
      <c r="AI56" s="31">
        <f>SQRT((INDEX(US_x,41)-INDEX(US_x,32))^2+(INDEX(US_y,41)-INDEX(US_y,32))^2)</f>
        <v>36.117620353506126</v>
      </c>
      <c r="AJ56" s="31">
        <f>SQRT((INDEX(US_x,41)-INDEX(US_x,33))^2+(INDEX(US_y,41)-INDEX(US_y,33))^2)</f>
        <v>33.579115533319225</v>
      </c>
      <c r="AK56" s="31">
        <f>SQRT((INDEX(US_x,41)-INDEX(US_x,34))^2+(INDEX(US_y,41)-INDEX(US_y,34))^2)</f>
        <v>11.231620542023311</v>
      </c>
      <c r="AL56" s="31">
        <f>SQRT((INDEX(US_x,41)-INDEX(US_x,35))^2+(INDEX(US_y,41)-INDEX(US_y,35))^2)</f>
        <v>53.78774953462917</v>
      </c>
      <c r="AM56" s="31">
        <f>SQRT((INDEX(US_x,41)-INDEX(US_x,36))^2+(INDEX(US_y,41)-INDEX(US_y,36))^2)</f>
        <v>42.85264285898829</v>
      </c>
      <c r="AN56" s="31">
        <f>SQRT((INDEX(US_x,41)-INDEX(US_x,37))^2+(INDEX(US_y,41)-INDEX(US_y,37))^2)</f>
        <v>52.496432259726</v>
      </c>
      <c r="AO56" s="31">
        <f>SQRT((INDEX(US_x,41)-INDEX(US_x,38))^2+(INDEX(US_y,41)-INDEX(US_y,38))^2)</f>
        <v>31.96946199109394</v>
      </c>
      <c r="AP56" s="31">
        <f>SQRT((INDEX(US_x,41)-INDEX(US_x,39))^2+(INDEX(US_y,41)-INDEX(US_y,39))^2)</f>
        <v>30.79565229054257</v>
      </c>
      <c r="AQ56" s="31">
        <f>SQRT((INDEX(US_x,41)-INDEX(US_x,40))^2+(INDEX(US_y,41)-INDEX(US_y,40))^2)</f>
        <v>23.73567146722418</v>
      </c>
      <c r="AR56" s="31" t="s">
        <v>30</v>
      </c>
      <c r="AS56" s="31">
        <f>SQRT((INDEX(US_x,41)-INDEX(US_x,42))^2+(INDEX(US_y,41)-INDEX(US_y,42))^2)</f>
        <v>33.853806285261335</v>
      </c>
      <c r="AT56" s="31">
        <f>SQRT((INDEX(US_x,41)-INDEX(US_x,43))^2+(INDEX(US_y,41)-INDEX(US_y,43))^2)</f>
        <v>52.834748035738755</v>
      </c>
      <c r="AU56" s="31">
        <f>SQRT((INDEX(US_x,41)-INDEX(US_x,44))^2+(INDEX(US_y,41)-INDEX(US_y,44))^2)</f>
        <v>39.96795841671176</v>
      </c>
      <c r="AV56" s="31">
        <f>SQRT((INDEX(US_x,41)-INDEX(US_x,45))^2+(INDEX(US_y,41)-INDEX(US_y,45))^2)</f>
        <v>55.8407745290124</v>
      </c>
      <c r="AW56" s="31">
        <f>SQRT((INDEX(US_x,41)-INDEX(US_x,46))^2+(INDEX(US_y,41)-INDEX(US_y,46))^2)</f>
        <v>33.851577511247534</v>
      </c>
      <c r="AX56" s="31">
        <f>SQRT((INDEX(US_x,41)-INDEX(US_x,47))^2+(INDEX(US_y,41)-INDEX(US_y,47))^2)</f>
        <v>31.244077838848117</v>
      </c>
      <c r="AY56" s="31">
        <f>SQRT((INDEX(US_x,41)-INDEX(US_x,48))^2+(INDEX(US_y,41)-INDEX(US_y,48))^2)</f>
        <v>26.63953453046806</v>
      </c>
      <c r="AZ56" s="31" t="s">
        <v>30</v>
      </c>
      <c r="BA56" s="34">
        <v>49.85</v>
      </c>
      <c r="BB56" s="34">
        <v>1.4</v>
      </c>
    </row>
    <row r="57" spans="3:54" ht="15" thickBot="1" thickTop="1">
      <c r="C57" s="26">
        <v>42</v>
      </c>
      <c r="D57" s="31">
        <f>SQRT((INDEX(US_x,42)-INDEX(US_x,1))^2+(INDEX(US_y,42)-INDEX(US_y,1))^2)</f>
        <v>48.19396227744717</v>
      </c>
      <c r="E57" s="31">
        <f>SQRT((INDEX(US_x,42)-INDEX(US_x,2))^2+(INDEX(US_y,42)-INDEX(US_y,2))^2)</f>
        <v>15.909022597255936</v>
      </c>
      <c r="F57" s="31">
        <f>SQRT((INDEX(US_x,42)-INDEX(US_x,3))^2+(INDEX(US_y,42)-INDEX(US_y,3))^2)</f>
        <v>36.169076571015744</v>
      </c>
      <c r="G57" s="31">
        <f>SQRT((INDEX(US_x,42)-INDEX(US_x,4))^2+(INDEX(US_y,42)-INDEX(US_y,4))^2)</f>
        <v>16.808358039975232</v>
      </c>
      <c r="H57" s="31">
        <f>SQRT((INDEX(US_x,42)-INDEX(US_x,5))^2+(INDEX(US_y,42)-INDEX(US_y,5))^2)</f>
        <v>11.684096028362656</v>
      </c>
      <c r="I57" s="31">
        <f>SQRT((INDEX(US_x,42)-INDEX(US_x,6))^2+(INDEX(US_y,42)-INDEX(US_y,6))^2)</f>
        <v>63.83195516353859</v>
      </c>
      <c r="J57" s="31">
        <f>SQRT((INDEX(US_x,42)-INDEX(US_x,7))^2+(INDEX(US_y,42)-INDEX(US_y,7))^2)</f>
        <v>60.507237583614746</v>
      </c>
      <c r="K57" s="31">
        <f>SQRT((INDEX(US_x,42)-INDEX(US_x,8))^2+(INDEX(US_y,42)-INDEX(US_y,8))^2)</f>
        <v>53.574622723823275</v>
      </c>
      <c r="L57" s="31">
        <f>SQRT((INDEX(US_x,42)-INDEX(US_x,9))^2+(INDEX(US_y,42)-INDEX(US_y,9))^2)</f>
        <v>49.92011618576224</v>
      </c>
      <c r="M57" s="31">
        <f>SQRT((INDEX(US_x,42)-INDEX(US_x,10))^2+(INDEX(US_y,42)-INDEX(US_y,10))^2)</f>
        <v>9.363845363951715</v>
      </c>
      <c r="N57" s="31">
        <f>SQRT((INDEX(US_x,42)-INDEX(US_x,11))^2+(INDEX(US_y,42)-INDEX(US_y,11))^2)</f>
        <v>37.00280124531114</v>
      </c>
      <c r="O57" s="31">
        <f>SQRT((INDEX(US_x,42)-INDEX(US_x,12))^2+(INDEX(US_y,42)-INDEX(US_y,12))^2)</f>
        <v>42.76651143125893</v>
      </c>
      <c r="P57" s="31">
        <f>SQRT((INDEX(US_x,42)-INDEX(US_x,13))^2+(INDEX(US_y,42)-INDEX(US_y,13))^2)</f>
        <v>30.00854045101161</v>
      </c>
      <c r="Q57" s="31">
        <f>SQRT((INDEX(US_x,42)-INDEX(US_x,14))^2+(INDEX(US_y,42)-INDEX(US_y,14))^2)</f>
        <v>27.35977339087442</v>
      </c>
      <c r="R57" s="31">
        <f>SQRT((INDEX(US_x,42)-INDEX(US_x,15))^2+(INDEX(US_y,42)-INDEX(US_y,15))^2)</f>
        <v>45.68890127810035</v>
      </c>
      <c r="S57" s="31">
        <f>SQRT((INDEX(US_x,42)-INDEX(US_x,16))^2+(INDEX(US_y,42)-INDEX(US_y,16))^2)</f>
        <v>42.865465120537294</v>
      </c>
      <c r="T57" s="31">
        <f>SQRT((INDEX(US_x,42)-INDEX(US_x,17))^2+(INDEX(US_y,42)-INDEX(US_y,17))^2)</f>
        <v>67.45461437144237</v>
      </c>
      <c r="U57" s="31">
        <f>SQRT((INDEX(US_x,42)-INDEX(US_x,18))^2+(INDEX(US_y,42)-INDEX(US_y,18))^2)</f>
        <v>59.02758422974805</v>
      </c>
      <c r="V57" s="31">
        <f>SQRT((INDEX(US_x,42)-INDEX(US_x,19))^2+(INDEX(US_y,42)-INDEX(US_y,19))^2)</f>
        <v>66.161599134241</v>
      </c>
      <c r="W57" s="31">
        <f>SQRT((INDEX(US_x,42)-INDEX(US_x,20))^2+(INDEX(US_y,42)-INDEX(US_y,20))^2)</f>
        <v>44.54247411179581</v>
      </c>
      <c r="X57" s="31">
        <f>SQRT((INDEX(US_x,42)-INDEX(US_x,21))^2+(INDEX(US_y,42)-INDEX(US_y,21))^2)</f>
        <v>31.352015884150095</v>
      </c>
      <c r="Y57" s="31">
        <f>SQRT((INDEX(US_x,42)-INDEX(US_x,22))^2+(INDEX(US_y,42)-INDEX(US_y,22))^2)</f>
        <v>42.100957233773194</v>
      </c>
      <c r="Z57" s="31">
        <f>SQRT((INDEX(US_x,42)-INDEX(US_x,23))^2+(INDEX(US_y,42)-INDEX(US_y,23))^2)</f>
        <v>33.397392113756425</v>
      </c>
      <c r="AA57" s="31">
        <f>SQRT((INDEX(US_x,42)-INDEX(US_x,24))^2+(INDEX(US_y,42)-INDEX(US_y,24))^2)</f>
        <v>12.718840355944407</v>
      </c>
      <c r="AB57" s="31">
        <f>SQRT((INDEX(US_x,42)-INDEX(US_x,25))^2+(INDEX(US_y,42)-INDEX(US_y,25))^2)</f>
        <v>25.067688365702967</v>
      </c>
      <c r="AC57" s="33">
        <f>SQRT((INDEX(US_x,42)-INDEX(US_x,26))^2+(INDEX(US_y,42)-INDEX(US_y,26))^2)</f>
        <v>13.62736218055424</v>
      </c>
      <c r="AD57" s="31">
        <f>SQRT((INDEX(US_x,42)-INDEX(US_x,27))^2+(INDEX(US_y,42)-INDEX(US_y,27))^2)</f>
        <v>65.0851910959782</v>
      </c>
      <c r="AE57" s="31">
        <f>SQRT((INDEX(US_x,42)-INDEX(US_x,28))^2+(INDEX(US_y,42)-INDEX(US_y,28))^2)</f>
        <v>61.203242561158476</v>
      </c>
      <c r="AF57" s="31">
        <f>SQRT((INDEX(US_x,42)-INDEX(US_x,29))^2+(INDEX(US_y,42)-INDEX(US_y,29))^2)</f>
        <v>15.00363289340285</v>
      </c>
      <c r="AG57" s="31">
        <f>SQRT((INDEX(US_x,42)-INDEX(US_x,30))^2+(INDEX(US_y,42)-INDEX(US_y,30))^2)</f>
        <v>61.7867825671478</v>
      </c>
      <c r="AH57" s="31">
        <f>SQRT((INDEX(US_x,42)-INDEX(US_x,31))^2+(INDEX(US_y,42)-INDEX(US_y,31))^2)</f>
        <v>57.62244788274792</v>
      </c>
      <c r="AI57" s="31">
        <f>SQRT((INDEX(US_x,42)-INDEX(US_x,32))^2+(INDEX(US_y,42)-INDEX(US_y,32))^2)</f>
        <v>21.863067030954284</v>
      </c>
      <c r="AJ57" s="31">
        <f>SQRT((INDEX(US_x,42)-INDEX(US_x,33))^2+(INDEX(US_y,42)-INDEX(US_y,33))^2)</f>
        <v>47.86743778394662</v>
      </c>
      <c r="AK57" s="31">
        <f>SQRT((INDEX(US_x,42)-INDEX(US_x,34))^2+(INDEX(US_y,42)-INDEX(US_y,34))^2)</f>
        <v>27.174445716518303</v>
      </c>
      <c r="AL57" s="31">
        <f>SQRT((INDEX(US_x,42)-INDEX(US_x,35))^2+(INDEX(US_y,42)-INDEX(US_y,35))^2)</f>
        <v>20.00514433839456</v>
      </c>
      <c r="AM57" s="31">
        <f>SQRT((INDEX(US_x,42)-INDEX(US_x,36))^2+(INDEX(US_y,42)-INDEX(US_y,36))^2)</f>
        <v>57.71856200564945</v>
      </c>
      <c r="AN57" s="31">
        <f>SQRT((INDEX(US_x,42)-INDEX(US_x,37))^2+(INDEX(US_y,42)-INDEX(US_y,37))^2)</f>
        <v>65.82734386256217</v>
      </c>
      <c r="AO57" s="31">
        <f>SQRT((INDEX(US_x,42)-INDEX(US_x,38))^2+(INDEX(US_y,42)-INDEX(US_y,38))^2)</f>
        <v>55.174451515171405</v>
      </c>
      <c r="AP57" s="31">
        <f>SQRT((INDEX(US_x,42)-INDEX(US_x,39))^2+(INDEX(US_y,42)-INDEX(US_y,39))^2)</f>
        <v>20.11522806234123</v>
      </c>
      <c r="AQ57" s="31">
        <f>SQRT((INDEX(US_x,42)-INDEX(US_x,40))^2+(INDEX(US_y,42)-INDEX(US_y,40))^2)</f>
        <v>43.91626236373036</v>
      </c>
      <c r="AR57" s="31">
        <f>SQRT((INDEX(US_x,42)-INDEX(US_x,41))^2+(INDEX(US_y,42)-INDEX(US_y,41))^2)</f>
        <v>33.853806285261335</v>
      </c>
      <c r="AS57" s="31" t="s">
        <v>30</v>
      </c>
      <c r="AT57" s="31">
        <f>SQRT((INDEX(US_x,42)-INDEX(US_x,43))^2+(INDEX(US_y,42)-INDEX(US_y,43))^2)</f>
        <v>63.13588203232771</v>
      </c>
      <c r="AU57" s="31">
        <f>SQRT((INDEX(US_x,42)-INDEX(US_x,44))^2+(INDEX(US_y,42)-INDEX(US_y,44))^2)</f>
        <v>58.369982867909094</v>
      </c>
      <c r="AV57" s="31">
        <f>SQRT((INDEX(US_x,42)-INDEX(US_x,45))^2+(INDEX(US_y,42)-INDEX(US_y,45))^2)</f>
        <v>22.04151764284846</v>
      </c>
      <c r="AW57" s="31">
        <f>SQRT((INDEX(US_x,42)-INDEX(US_x,46))^2+(INDEX(US_y,42)-INDEX(US_y,46))^2)</f>
        <v>50.94080584364562</v>
      </c>
      <c r="AX57" s="31">
        <f>SQRT((INDEX(US_x,42)-INDEX(US_x,47))^2+(INDEX(US_y,42)-INDEX(US_y,47))^2)</f>
        <v>36.79549157165861</v>
      </c>
      <c r="AY57" s="31">
        <f>SQRT((INDEX(US_x,42)-INDEX(US_x,48))^2+(INDEX(US_y,42)-INDEX(US_y,48))^2)</f>
        <v>11.681515312663851</v>
      </c>
      <c r="AZ57" s="31" t="s">
        <v>30</v>
      </c>
      <c r="BA57" s="34">
        <v>19.16</v>
      </c>
      <c r="BB57" s="34">
        <v>15.69</v>
      </c>
    </row>
    <row r="58" spans="3:54" ht="15" thickBot="1" thickTop="1">
      <c r="C58" s="26">
        <v>43</v>
      </c>
      <c r="D58" s="31">
        <f>SQRT((INDEX(US_x,43)-INDEX(US_x,1))^2+(INDEX(US_y,43)-INDEX(US_y,1))^2)</f>
        <v>34.88987245605808</v>
      </c>
      <c r="E58" s="31">
        <f>SQRT((INDEX(US_x,43)-INDEX(US_x,2))^2+(INDEX(US_y,43)-INDEX(US_y,2))^2)</f>
        <v>70.26701217498862</v>
      </c>
      <c r="F58" s="31">
        <f>SQRT((INDEX(US_x,43)-INDEX(US_x,3))^2+(INDEX(US_y,43)-INDEX(US_y,3))^2)</f>
        <v>38.90774344523208</v>
      </c>
      <c r="G58" s="31">
        <f>SQRT((INDEX(US_x,43)-INDEX(US_x,4))^2+(INDEX(US_y,43)-INDEX(US_y,4))^2)</f>
        <v>79.86739322151436</v>
      </c>
      <c r="H58" s="31">
        <f>SQRT((INDEX(US_x,43)-INDEX(US_x,5))^2+(INDEX(US_y,43)-INDEX(US_y,5))^2)</f>
        <v>53.12083301304677</v>
      </c>
      <c r="I58" s="31">
        <f>SQRT((INDEX(US_x,43)-INDEX(US_x,6))^2+(INDEX(US_y,43)-INDEX(US_y,6))^2)</f>
        <v>5.49604403184691</v>
      </c>
      <c r="J58" s="31">
        <f>SQRT((INDEX(US_x,43)-INDEX(US_x,7))^2+(INDEX(US_y,43)-INDEX(US_y,7))^2)</f>
        <v>12.187444358847353</v>
      </c>
      <c r="K58" s="31">
        <f>SQRT((INDEX(US_x,43)-INDEX(US_x,8))^2+(INDEX(US_y,43)-INDEX(US_y,8))^2)</f>
        <v>36.310309830680325</v>
      </c>
      <c r="L58" s="31">
        <f>SQRT((INDEX(US_x,43)-INDEX(US_x,9))^2+(INDEX(US_y,43)-INDEX(US_y,9))^2)</f>
        <v>30.38111255369033</v>
      </c>
      <c r="M58" s="31">
        <f>SQRT((INDEX(US_x,43)-INDEX(US_x,10))^2+(INDEX(US_y,43)-INDEX(US_y,10))^2)</f>
        <v>67.94609922578337</v>
      </c>
      <c r="N58" s="31">
        <f>SQRT((INDEX(US_x,43)-INDEX(US_x,11))^2+(INDEX(US_y,43)-INDEX(US_y,11))^2)</f>
        <v>29.225319502102966</v>
      </c>
      <c r="O58" s="31">
        <f>SQRT((INDEX(US_x,43)-INDEX(US_x,12))^2+(INDEX(US_y,43)-INDEX(US_y,12))^2)</f>
        <v>24.023648765331217</v>
      </c>
      <c r="P58" s="31">
        <f>SQRT((INDEX(US_x,43)-INDEX(US_x,13))^2+(INDEX(US_y,43)-INDEX(US_y,13))^2)</f>
        <v>34.0236697021353</v>
      </c>
      <c r="Q58" s="31">
        <f>SQRT((INDEX(US_x,43)-INDEX(US_x,14))^2+(INDEX(US_y,43)-INDEX(US_y,14))^2)</f>
        <v>39.14169132779012</v>
      </c>
      <c r="R58" s="31">
        <f>SQRT((INDEX(US_x,43)-INDEX(US_x,15))^2+(INDEX(US_y,43)-INDEX(US_y,15))^2)</f>
        <v>24.044011728494898</v>
      </c>
      <c r="S58" s="31">
        <f>SQRT((INDEX(US_x,43)-INDEX(US_x,16))^2+(INDEX(US_y,43)-INDEX(US_y,16))^2)</f>
        <v>43.89627432937789</v>
      </c>
      <c r="T58" s="33">
        <f>SQRT((INDEX(US_x,43)-INDEX(US_x,17))^2+(INDEX(US_y,43)-INDEX(US_y,17))^2)</f>
        <v>4.367905676637263</v>
      </c>
      <c r="U58" s="31">
        <f>SQRT((INDEX(US_x,43)-INDEX(US_x,18))^2+(INDEX(US_y,43)-INDEX(US_y,18))^2)</f>
        <v>13.215918431951678</v>
      </c>
      <c r="V58" s="31">
        <f>SQRT((INDEX(US_x,43)-INDEX(US_x,19))^2+(INDEX(US_y,43)-INDEX(US_y,19))^2)</f>
        <v>4.850566977168749</v>
      </c>
      <c r="W58" s="31">
        <f>SQRT((INDEX(US_x,43)-INDEX(US_x,20))^2+(INDEX(US_y,43)-INDEX(US_y,20))^2)</f>
        <v>19.221456760610003</v>
      </c>
      <c r="X58" s="31">
        <f>SQRT((INDEX(US_x,43)-INDEX(US_x,21))^2+(INDEX(US_y,43)-INDEX(US_y,21))^2)</f>
        <v>31.88119978921747</v>
      </c>
      <c r="Y58" s="31">
        <f>SQRT((INDEX(US_x,43)-INDEX(US_x,22))^2+(INDEX(US_y,43)-INDEX(US_y,22))^2)</f>
        <v>39.681937956707706</v>
      </c>
      <c r="Z58" s="31">
        <f>SQRT((INDEX(US_x,43)-INDEX(US_x,23))^2+(INDEX(US_y,43)-INDEX(US_y,23))^2)</f>
        <v>34.22374906406368</v>
      </c>
      <c r="AA58" s="31">
        <f>SQRT((INDEX(US_x,43)-INDEX(US_x,24))^2+(INDEX(US_y,43)-INDEX(US_y,24))^2)</f>
        <v>60.21354415744019</v>
      </c>
      <c r="AB58" s="31">
        <f>SQRT((INDEX(US_x,43)-INDEX(US_x,25))^2+(INDEX(US_y,43)-INDEX(US_y,25))^2)</f>
        <v>39.34419652248601</v>
      </c>
      <c r="AC58" s="31">
        <f>SQRT((INDEX(US_x,43)-INDEX(US_x,26))^2+(INDEX(US_y,43)-INDEX(US_y,26))^2)</f>
        <v>76.66907720848086</v>
      </c>
      <c r="AD58" s="31">
        <f>SQRT((INDEX(US_x,43)-INDEX(US_x,27))^2+(INDEX(US_y,43)-INDEX(US_y,27))^2)</f>
        <v>2.8640006983239386</v>
      </c>
      <c r="AE58" s="31">
        <f>SQRT((INDEX(US_x,43)-INDEX(US_x,28))^2+(INDEX(US_y,43)-INDEX(US_y,28))^2)</f>
        <v>9.543819989920179</v>
      </c>
      <c r="AF58" s="31">
        <f>SQRT((INDEX(US_x,43)-INDEX(US_x,29))^2+(INDEX(US_y,43)-INDEX(US_y,29))^2)</f>
        <v>58.30871118452199</v>
      </c>
      <c r="AG58" s="31">
        <f>SQRT((INDEX(US_x,43)-INDEX(US_x,30))^2+(INDEX(US_y,43)-INDEX(US_y,30))^2)</f>
        <v>3.9954098663341155</v>
      </c>
      <c r="AH58" s="31">
        <f>SQRT((INDEX(US_x,43)-INDEX(US_x,31))^2+(INDEX(US_y,43)-INDEX(US_y,31))^2)</f>
        <v>21.146699506069503</v>
      </c>
      <c r="AI58" s="31">
        <f>SQRT((INDEX(US_x,43)-INDEX(US_x,32))^2+(INDEX(US_y,43)-INDEX(US_y,32))^2)</f>
        <v>43.3843992697836</v>
      </c>
      <c r="AJ58" s="31">
        <f>SQRT((INDEX(US_x,43)-INDEX(US_x,33))^2+(INDEX(US_y,43)-INDEX(US_y,33))^2)</f>
        <v>19.25718567184727</v>
      </c>
      <c r="AK58" s="31">
        <f>SQRT((INDEX(US_x,43)-INDEX(US_x,34))^2+(INDEX(US_y,43)-INDEX(US_y,34))^2)</f>
        <v>45.64754648390207</v>
      </c>
      <c r="AL58" s="31">
        <f>SQRT((INDEX(US_x,43)-INDEX(US_x,35))^2+(INDEX(US_y,43)-INDEX(US_y,35))^2)</f>
        <v>77.37088470477767</v>
      </c>
      <c r="AM58" s="31">
        <f>SQRT((INDEX(US_x,43)-INDEX(US_x,36))^2+(INDEX(US_y,43)-INDEX(US_y,36))^2)</f>
        <v>11.204570496007424</v>
      </c>
      <c r="AN58" s="31">
        <f>SQRT((INDEX(US_x,43)-INDEX(US_x,37))^2+(INDEX(US_y,43)-INDEX(US_y,37))^2)</f>
        <v>5.698596318392808</v>
      </c>
      <c r="AO58" s="31">
        <f>SQRT((INDEX(US_x,43)-INDEX(US_x,38))^2+(INDEX(US_y,43)-INDEX(US_y,38))^2)</f>
        <v>26.57361285184986</v>
      </c>
      <c r="AP58" s="31">
        <f>SQRT((INDEX(US_x,43)-INDEX(US_x,39))^2+(INDEX(US_y,43)-INDEX(US_y,39))^2)</f>
        <v>43.237155318082614</v>
      </c>
      <c r="AQ58" s="31">
        <f>SQRT((INDEX(US_x,43)-INDEX(US_x,40))^2+(INDEX(US_y,43)-INDEX(US_y,40))^2)</f>
        <v>29.424100665950693</v>
      </c>
      <c r="AR58" s="31">
        <f>SQRT((INDEX(US_x,43)-INDEX(US_x,41))^2+(INDEX(US_y,43)-INDEX(US_y,41))^2)</f>
        <v>52.834748035738755</v>
      </c>
      <c r="AS58" s="31">
        <f>SQRT((INDEX(US_x,43)-INDEX(US_x,42))^2+(INDEX(US_y,43)-INDEX(US_y,42))^2)</f>
        <v>63.13588203232771</v>
      </c>
      <c r="AT58" s="31" t="s">
        <v>30</v>
      </c>
      <c r="AU58" s="31">
        <f>SQRT((INDEX(US_x,43)-INDEX(US_x,44))^2+(INDEX(US_y,43)-INDEX(US_y,44))^2)</f>
        <v>16.757210388367152</v>
      </c>
      <c r="AV58" s="31">
        <f>SQRT((INDEX(US_x,43)-INDEX(US_x,45))^2+(INDEX(US_y,43)-INDEX(US_y,45))^2)</f>
        <v>76.0227788231922</v>
      </c>
      <c r="AW58" s="31">
        <f>SQRT((INDEX(US_x,43)-INDEX(US_x,46))^2+(INDEX(US_y,43)-INDEX(US_y,46))^2)</f>
        <v>19.638138913858413</v>
      </c>
      <c r="AX58" s="31">
        <f>SQRT((INDEX(US_x,43)-INDEX(US_x,47))^2+(INDEX(US_y,43)-INDEX(US_y,47))^2)</f>
        <v>26.611850743606688</v>
      </c>
      <c r="AY58" s="31">
        <f>SQRT((INDEX(US_x,43)-INDEX(US_x,48))^2+(INDEX(US_y,43)-INDEX(US_y,48))^2)</f>
        <v>51.83232389156403</v>
      </c>
      <c r="AZ58" s="31" t="s">
        <v>30</v>
      </c>
      <c r="BA58" s="34">
        <v>72.8</v>
      </c>
      <c r="BB58" s="34">
        <v>48.99</v>
      </c>
    </row>
    <row r="59" spans="3:54" ht="15" thickBot="1" thickTop="1">
      <c r="C59" s="26">
        <v>44</v>
      </c>
      <c r="D59" s="31">
        <f>SQRT((INDEX(US_x,44)-INDEX(US_x,1))^2+(INDEX(US_y,44)-INDEX(US_y,1))^2)</f>
        <v>19.469003569777268</v>
      </c>
      <c r="E59" s="31">
        <f>SQRT((INDEX(US_x,44)-INDEX(US_x,2))^2+(INDEX(US_y,44)-INDEX(US_y,2))^2)</f>
        <v>61.85678378318744</v>
      </c>
      <c r="F59" s="31">
        <f>SQRT((INDEX(US_x,44)-INDEX(US_x,3))^2+(INDEX(US_y,44)-INDEX(US_y,3))^2)</f>
        <v>26.852683292363917</v>
      </c>
      <c r="G59" s="31">
        <f>SQRT((INDEX(US_x,44)-INDEX(US_x,4))^2+(INDEX(US_y,44)-INDEX(US_y,4))^2)</f>
        <v>75.01604361734894</v>
      </c>
      <c r="H59" s="31">
        <f>SQRT((INDEX(US_x,44)-INDEX(US_x,5))^2+(INDEX(US_y,44)-INDEX(US_y,5))^2)</f>
        <v>47.055662783558795</v>
      </c>
      <c r="I59" s="31">
        <f>SQRT((INDEX(US_x,44)-INDEX(US_x,6))^2+(INDEX(US_y,44)-INDEX(US_y,6))^2)</f>
        <v>12.230134913401402</v>
      </c>
      <c r="J59" s="31">
        <f>SQRT((INDEX(US_x,44)-INDEX(US_x,7))^2+(INDEX(US_y,44)-INDEX(US_y,7))^2)</f>
        <v>4.812743500333252</v>
      </c>
      <c r="K59" s="31">
        <f>SQRT((INDEX(US_x,44)-INDEX(US_x,8))^2+(INDEX(US_y,44)-INDEX(US_y,8))^2)</f>
        <v>19.860455684600996</v>
      </c>
      <c r="L59" s="31">
        <f>SQRT((INDEX(US_x,44)-INDEX(US_x,9))^2+(INDEX(US_y,44)-INDEX(US_y,9))^2)</f>
        <v>14.854753447970786</v>
      </c>
      <c r="M59" s="31">
        <f>SQRT((INDEX(US_x,44)-INDEX(US_x,10))^2+(INDEX(US_y,44)-INDEX(US_y,10))^2)</f>
        <v>65.06743348250338</v>
      </c>
      <c r="N59" s="31">
        <f>SQRT((INDEX(US_x,44)-INDEX(US_x,11))^2+(INDEX(US_y,44)-INDEX(US_y,11))^2)</f>
        <v>21.369066427899938</v>
      </c>
      <c r="O59" s="31">
        <f>SQRT((INDEX(US_x,44)-INDEX(US_x,12))^2+(INDEX(US_y,44)-INDEX(US_y,12))^2)</f>
        <v>15.634436350569217</v>
      </c>
      <c r="P59" s="31">
        <f>SQRT((INDEX(US_x,44)-INDEX(US_x,13))^2+(INDEX(US_y,44)-INDEX(US_y,13))^2)</f>
        <v>28.593765054640848</v>
      </c>
      <c r="Q59" s="31">
        <f>SQRT((INDEX(US_x,44)-INDEX(US_x,14))^2+(INDEX(US_y,44)-INDEX(US_y,14))^2)</f>
        <v>31.3723206027224</v>
      </c>
      <c r="R59" s="31">
        <f>SQRT((INDEX(US_x,44)-INDEX(US_x,15))^2+(INDEX(US_y,44)-INDEX(US_y,15))^2)</f>
        <v>12.881692435390628</v>
      </c>
      <c r="S59" s="31">
        <f>SQRT((INDEX(US_x,44)-INDEX(US_x,16))^2+(INDEX(US_y,44)-INDEX(US_y,16))^2)</f>
        <v>29.275423139555134</v>
      </c>
      <c r="T59" s="31">
        <f>SQRT((INDEX(US_x,44)-INDEX(US_x,17))^2+(INDEX(US_y,44)-INDEX(US_y,17))^2)</f>
        <v>19.476727137791915</v>
      </c>
      <c r="U59" s="31">
        <f>SQRT((INDEX(US_x,44)-INDEX(US_x,18))^2+(INDEX(US_y,44)-INDEX(US_y,18))^2)</f>
        <v>3.541327434734041</v>
      </c>
      <c r="V59" s="31">
        <f>SQRT((INDEX(US_x,44)-INDEX(US_x,19))^2+(INDEX(US_y,44)-INDEX(US_y,19))^2)</f>
        <v>15.006615207967446</v>
      </c>
      <c r="W59" s="31">
        <f>SQRT((INDEX(US_x,44)-INDEX(US_x,20))^2+(INDEX(US_y,44)-INDEX(US_y,20))^2)</f>
        <v>16.40903714420807</v>
      </c>
      <c r="X59" s="31">
        <f>SQRT((INDEX(US_x,44)-INDEX(US_x,21))^2+(INDEX(US_y,44)-INDEX(US_y,21))^2)</f>
        <v>30.287911780114527</v>
      </c>
      <c r="Y59" s="31">
        <f>SQRT((INDEX(US_x,44)-INDEX(US_x,22))^2+(INDEX(US_y,44)-INDEX(US_y,22))^2)</f>
        <v>25.52470372012181</v>
      </c>
      <c r="Z59" s="31">
        <f>SQRT((INDEX(US_x,44)-INDEX(US_x,23))^2+(INDEX(US_y,44)-INDEX(US_y,23))^2)</f>
        <v>25.403442680077834</v>
      </c>
      <c r="AA59" s="31">
        <f>SQRT((INDEX(US_x,44)-INDEX(US_x,24))^2+(INDEX(US_y,44)-INDEX(US_y,24))^2)</f>
        <v>58.917124844988834</v>
      </c>
      <c r="AB59" s="31">
        <f>SQRT((INDEX(US_x,44)-INDEX(US_x,25))^2+(INDEX(US_y,44)-INDEX(US_y,25))^2)</f>
        <v>33.3071959192004</v>
      </c>
      <c r="AC59" s="31">
        <f>SQRT((INDEX(US_x,44)-INDEX(US_x,26))^2+(INDEX(US_y,44)-INDEX(US_y,26))^2)</f>
        <v>71.89565007703874</v>
      </c>
      <c r="AD59" s="31">
        <f>SQRT((INDEX(US_x,44)-INDEX(US_x,27))^2+(INDEX(US_y,44)-INDEX(US_y,27))^2)</f>
        <v>15.806694784172937</v>
      </c>
      <c r="AE59" s="31">
        <f>SQRT((INDEX(US_x,44)-INDEX(US_x,28))^2+(INDEX(US_y,44)-INDEX(US_y,28))^2)</f>
        <v>7.426897064050371</v>
      </c>
      <c r="AF59" s="31">
        <f>SQRT((INDEX(US_x,44)-INDEX(US_x,29))^2+(INDEX(US_y,44)-INDEX(US_y,29))^2)</f>
        <v>49.93146603095087</v>
      </c>
      <c r="AG59" s="31">
        <f>SQRT((INDEX(US_x,44)-INDEX(US_x,30))^2+(INDEX(US_y,44)-INDEX(US_y,30))^2)</f>
        <v>12.766902521755231</v>
      </c>
      <c r="AH59" s="33">
        <f>SQRT((INDEX(US_x,44)-INDEX(US_x,31))^2+(INDEX(US_y,44)-INDEX(US_y,31))^2)</f>
        <v>4.394769618535196</v>
      </c>
      <c r="AI59" s="31">
        <f>SQRT((INDEX(US_x,44)-INDEX(US_x,32))^2+(INDEX(US_y,44)-INDEX(US_y,32))^2)</f>
        <v>42.64510757402307</v>
      </c>
      <c r="AJ59" s="31">
        <f>SQRT((INDEX(US_x,44)-INDEX(US_x,33))^2+(INDEX(US_y,44)-INDEX(US_y,33))^2)</f>
        <v>10.850092165507165</v>
      </c>
      <c r="AK59" s="31">
        <f>SQRT((INDEX(US_x,44)-INDEX(US_x,34))^2+(INDEX(US_y,44)-INDEX(US_y,34))^2)</f>
        <v>35.47038483016502</v>
      </c>
      <c r="AL59" s="31">
        <f>SQRT((INDEX(US_x,44)-INDEX(US_x,35))^2+(INDEX(US_y,44)-INDEX(US_y,35))^2)</f>
        <v>75.55575755691952</v>
      </c>
      <c r="AM59" s="31">
        <f>SQRT((INDEX(US_x,44)-INDEX(US_x,36))^2+(INDEX(US_y,44)-INDEX(US_y,36))^2)</f>
        <v>5.997674549356607</v>
      </c>
      <c r="AN59" s="31">
        <f>SQRT((INDEX(US_x,44)-INDEX(US_x,37))^2+(INDEX(US_y,44)-INDEX(US_y,37))^2)</f>
        <v>13.794002319849017</v>
      </c>
      <c r="AO59" s="31">
        <f>SQRT((INDEX(US_x,44)-INDEX(US_x,38))^2+(INDEX(US_y,44)-INDEX(US_y,38))^2)</f>
        <v>10.018552789699717</v>
      </c>
      <c r="AP59" s="31">
        <f>SQRT((INDEX(US_x,44)-INDEX(US_x,39))^2+(INDEX(US_y,44)-INDEX(US_y,39))^2)</f>
        <v>40.45828098177183</v>
      </c>
      <c r="AQ59" s="31">
        <f>SQRT((INDEX(US_x,44)-INDEX(US_x,40))^2+(INDEX(US_y,44)-INDEX(US_y,40))^2)</f>
        <v>16.587525433288715</v>
      </c>
      <c r="AR59" s="31">
        <f>SQRT((INDEX(US_x,44)-INDEX(US_x,41))^2+(INDEX(US_y,44)-INDEX(US_y,41))^2)</f>
        <v>39.96795841671176</v>
      </c>
      <c r="AS59" s="31">
        <f>SQRT((INDEX(US_x,44)-INDEX(US_x,42))^2+(INDEX(US_y,44)-INDEX(US_y,42))^2)</f>
        <v>58.369982867909094</v>
      </c>
      <c r="AT59" s="31">
        <f>SQRT((INDEX(US_x,44)-INDEX(US_x,43))^2+(INDEX(US_y,44)-INDEX(US_y,43))^2)</f>
        <v>16.757210388367152</v>
      </c>
      <c r="AU59" s="31" t="s">
        <v>30</v>
      </c>
      <c r="AV59" s="31">
        <f>SQRT((INDEX(US_x,44)-INDEX(US_x,45))^2+(INDEX(US_y,44)-INDEX(US_y,45))^2)</f>
        <v>75.20104387573355</v>
      </c>
      <c r="AW59" s="31">
        <f>SQRT((INDEX(US_x,44)-INDEX(US_x,46))^2+(INDEX(US_y,44)-INDEX(US_y,46))^2)</f>
        <v>7.4385482454575875</v>
      </c>
      <c r="AX59" s="31">
        <f>SQRT((INDEX(US_x,44)-INDEX(US_x,47))^2+(INDEX(US_y,44)-INDEX(US_y,47))^2)</f>
        <v>23.240776665163324</v>
      </c>
      <c r="AY59" s="31">
        <f>SQRT((INDEX(US_x,44)-INDEX(US_x,48))^2+(INDEX(US_y,44)-INDEX(US_y,48))^2)</f>
        <v>46.69732861738453</v>
      </c>
      <c r="AZ59" s="31" t="s">
        <v>30</v>
      </c>
      <c r="BA59" s="34">
        <v>75.09</v>
      </c>
      <c r="BB59" s="34">
        <v>32.39</v>
      </c>
    </row>
    <row r="60" spans="3:54" ht="15" thickBot="1" thickTop="1">
      <c r="C60" s="26">
        <v>45</v>
      </c>
      <c r="D60" s="31">
        <f>SQRT((INDEX(US_x,45)-INDEX(US_x,1))^2+(INDEX(US_y,45)-INDEX(US_y,1))^2)</f>
        <v>68.34318181062396</v>
      </c>
      <c r="E60" s="31">
        <f>SQRT((INDEX(US_x,45)-INDEX(US_x,2))^2+(INDEX(US_y,45)-INDEX(US_y,2))^2)</f>
        <v>34.71208002986856</v>
      </c>
      <c r="F60" s="31">
        <f>SQRT((INDEX(US_x,45)-INDEX(US_x,3))^2+(INDEX(US_y,45)-INDEX(US_y,3))^2)</f>
        <v>56.60203529909503</v>
      </c>
      <c r="G60" s="31">
        <f>SQRT((INDEX(US_x,45)-INDEX(US_x,4))^2+(INDEX(US_y,45)-INDEX(US_y,4))^2)</f>
        <v>18.761945528116215</v>
      </c>
      <c r="H60" s="31">
        <f>SQRT((INDEX(US_x,45)-INDEX(US_x,5))^2+(INDEX(US_y,45)-INDEX(US_y,5))^2)</f>
        <v>32.40711033091349</v>
      </c>
      <c r="I60" s="31">
        <f>SQRT((INDEX(US_x,45)-INDEX(US_x,6))^2+(INDEX(US_y,45)-INDEX(US_y,6))^2)</f>
        <v>78.0417375511335</v>
      </c>
      <c r="J60" s="31">
        <f>SQRT((INDEX(US_x,45)-INDEX(US_x,7))^2+(INDEX(US_y,45)-INDEX(US_y,7))^2)</f>
        <v>76.34171140339993</v>
      </c>
      <c r="K60" s="31">
        <f>SQRT((INDEX(US_x,45)-INDEX(US_x,8))^2+(INDEX(US_y,45)-INDEX(US_y,8))^2)</f>
        <v>73.9036460534932</v>
      </c>
      <c r="L60" s="31">
        <f>SQRT((INDEX(US_x,45)-INDEX(US_x,9))^2+(INDEX(US_y,45)-INDEX(US_y,9))^2)</f>
        <v>69.3326943079526</v>
      </c>
      <c r="M60" s="33">
        <f>SQRT((INDEX(US_x,45)-INDEX(US_x,10))^2+(INDEX(US_y,45)-INDEX(US_y,10))^2)</f>
        <v>12.678852471734183</v>
      </c>
      <c r="N60" s="31">
        <f>SQRT((INDEX(US_x,45)-INDEX(US_x,11))^2+(INDEX(US_y,45)-INDEX(US_y,11))^2)</f>
        <v>54.58448863917294</v>
      </c>
      <c r="O60" s="31">
        <f>SQRT((INDEX(US_x,45)-INDEX(US_x,12))^2+(INDEX(US_y,45)-INDEX(US_y,12))^2)</f>
        <v>59.822445620352234</v>
      </c>
      <c r="P60" s="31">
        <f>SQRT((INDEX(US_x,45)-INDEX(US_x,13))^2+(INDEX(US_y,45)-INDEX(US_y,13))^2)</f>
        <v>46.96000425894359</v>
      </c>
      <c r="Q60" s="31">
        <f>SQRT((INDEX(US_x,45)-INDEX(US_x,14))^2+(INDEX(US_y,45)-INDEX(US_y,14))^2)</f>
        <v>46.46427121993844</v>
      </c>
      <c r="R60" s="31">
        <f>SQRT((INDEX(US_x,45)-INDEX(US_x,15))^2+(INDEX(US_y,45)-INDEX(US_y,15))^2)</f>
        <v>63.37003866181557</v>
      </c>
      <c r="S60" s="31">
        <f>SQRT((INDEX(US_x,45)-INDEX(US_x,16))^2+(INDEX(US_y,45)-INDEX(US_y,16))^2)</f>
        <v>64.1883618734736</v>
      </c>
      <c r="T60" s="31">
        <f>SQRT((INDEX(US_x,45)-INDEX(US_x,17))^2+(INDEX(US_y,45)-INDEX(US_y,17))^2)</f>
        <v>80.04078023107971</v>
      </c>
      <c r="U60" s="31">
        <f>SQRT((INDEX(US_x,45)-INDEX(US_x,18))^2+(INDEX(US_y,45)-INDEX(US_y,18))^2)</f>
        <v>75.07842566276948</v>
      </c>
      <c r="V60" s="31">
        <f>SQRT((INDEX(US_x,45)-INDEX(US_x,19))^2+(INDEX(US_y,45)-INDEX(US_y,19))^2)</f>
        <v>79.88710346482716</v>
      </c>
      <c r="W60" s="31">
        <f>SQRT((INDEX(US_x,45)-INDEX(US_x,20))^2+(INDEX(US_y,45)-INDEX(US_y,20))^2)</f>
        <v>59.56116603962686</v>
      </c>
      <c r="X60" s="31">
        <f>SQRT((INDEX(US_x,45)-INDEX(US_x,21))^2+(INDEX(US_y,45)-INDEX(US_y,21))^2)</f>
        <v>45.26364766564886</v>
      </c>
      <c r="Y60" s="31">
        <f>SQRT((INDEX(US_x,45)-INDEX(US_x,22))^2+(INDEX(US_y,45)-INDEX(US_y,22))^2)</f>
        <v>62.89088725721716</v>
      </c>
      <c r="Z60" s="31">
        <f>SQRT((INDEX(US_x,45)-INDEX(US_x,23))^2+(INDEX(US_y,45)-INDEX(US_y,23))^2)</f>
        <v>52.12461702497199</v>
      </c>
      <c r="AA60" s="31">
        <f>SQRT((INDEX(US_x,45)-INDEX(US_x,24))^2+(INDEX(US_y,45)-INDEX(US_y,24))^2)</f>
        <v>16.284403581341255</v>
      </c>
      <c r="AB60" s="31">
        <f>SQRT((INDEX(US_x,45)-INDEX(US_x,25))^2+(INDEX(US_y,45)-INDEX(US_y,25))^2)</f>
        <v>43.11557143306812</v>
      </c>
      <c r="AC60" s="31">
        <f>SQRT((INDEX(US_x,45)-INDEX(US_x,26))^2+(INDEX(US_y,45)-INDEX(US_y,26))^2)</f>
        <v>17.97533031685371</v>
      </c>
      <c r="AD60" s="31">
        <f>SQRT((INDEX(US_x,45)-INDEX(US_x,27))^2+(INDEX(US_y,45)-INDEX(US_y,27))^2)</f>
        <v>78.43435089296015</v>
      </c>
      <c r="AE60" s="31">
        <f>SQRT((INDEX(US_x,45)-INDEX(US_x,28))^2+(INDEX(US_y,45)-INDEX(US_y,28))^2)</f>
        <v>76.43231384695873</v>
      </c>
      <c r="AF60" s="31">
        <f>SQRT((INDEX(US_x,45)-INDEX(US_x,29))^2+(INDEX(US_y,45)-INDEX(US_y,29))^2)</f>
        <v>37.03550863698243</v>
      </c>
      <c r="AG60" s="31">
        <f>SQRT((INDEX(US_x,45)-INDEX(US_x,30))^2+(INDEX(US_y,45)-INDEX(US_y,30))^2)</f>
        <v>75.66628311209689</v>
      </c>
      <c r="AH60" s="31">
        <f>SQRT((INDEX(US_x,45)-INDEX(US_x,31))^2+(INDEX(US_y,45)-INDEX(US_y,31))^2)</f>
        <v>75.36036756810573</v>
      </c>
      <c r="AI60" s="31">
        <f>SQRT((INDEX(US_x,45)-INDEX(US_x,32))^2+(INDEX(US_y,45)-INDEX(US_y,32))^2)</f>
        <v>32.955828012659616</v>
      </c>
      <c r="AJ60" s="31">
        <f>SQRT((INDEX(US_x,45)-INDEX(US_x,33))^2+(INDEX(US_y,45)-INDEX(US_y,33))^2)</f>
        <v>64.35220664437236</v>
      </c>
      <c r="AK60" s="31">
        <f>SQRT((INDEX(US_x,45)-INDEX(US_x,34))^2+(INDEX(US_y,45)-INDEX(US_y,34))^2)</f>
        <v>48.2970889391897</v>
      </c>
      <c r="AL60" s="31">
        <f>SQRT((INDEX(US_x,45)-INDEX(US_x,35))^2+(INDEX(US_y,45)-INDEX(US_y,35))^2)</f>
        <v>4.601836589884523</v>
      </c>
      <c r="AM60" s="31">
        <f>SQRT((INDEX(US_x,45)-INDEX(US_x,36))^2+(INDEX(US_y,45)-INDEX(US_y,36))^2)</f>
        <v>73.21560830861137</v>
      </c>
      <c r="AN60" s="31">
        <f>SQRT((INDEX(US_x,45)-INDEX(US_x,37))^2+(INDEX(US_y,45)-INDEX(US_y,37))^2)</f>
        <v>79.85991798142545</v>
      </c>
      <c r="AO60" s="31">
        <f>SQRT((INDEX(US_x,45)-INDEX(US_x,38))^2+(INDEX(US_y,45)-INDEX(US_y,38))^2)</f>
        <v>73.9462967294509</v>
      </c>
      <c r="AP60" s="31">
        <f>SQRT((INDEX(US_x,45)-INDEX(US_x,39))^2+(INDEX(US_y,45)-INDEX(US_y,39))^2)</f>
        <v>34.77367538814383</v>
      </c>
      <c r="AQ60" s="31">
        <f>SQRT((INDEX(US_x,45)-INDEX(US_x,40))^2+(INDEX(US_y,45)-INDEX(US_y,40))^2)</f>
        <v>62.843298767649046</v>
      </c>
      <c r="AR60" s="31">
        <f>SQRT((INDEX(US_x,45)-INDEX(US_x,41))^2+(INDEX(US_y,45)-INDEX(US_y,41))^2)</f>
        <v>55.8407745290124</v>
      </c>
      <c r="AS60" s="31">
        <f>SQRT((INDEX(US_x,45)-INDEX(US_x,42))^2+(INDEX(US_y,45)-INDEX(US_y,42))^2)</f>
        <v>22.04151764284846</v>
      </c>
      <c r="AT60" s="31">
        <f>SQRT((INDEX(US_x,45)-INDEX(US_x,43))^2+(INDEX(US_y,45)-INDEX(US_y,43))^2)</f>
        <v>76.0227788231922</v>
      </c>
      <c r="AU60" s="31">
        <f>SQRT((INDEX(US_x,45)-INDEX(US_x,44))^2+(INDEX(US_y,45)-INDEX(US_y,44))^2)</f>
        <v>75.20104387573355</v>
      </c>
      <c r="AV60" s="31" t="s">
        <v>30</v>
      </c>
      <c r="AW60" s="31">
        <f>SQRT((INDEX(US_x,45)-INDEX(US_x,46))^2+(INDEX(US_y,45)-INDEX(US_y,46))^2)</f>
        <v>68.04388142955985</v>
      </c>
      <c r="AX60" s="31">
        <f>SQRT((INDEX(US_x,45)-INDEX(US_x,47))^2+(INDEX(US_y,45)-INDEX(US_y,47))^2)</f>
        <v>52.076241223805695</v>
      </c>
      <c r="AY60" s="31">
        <f>SQRT((INDEX(US_x,45)-INDEX(US_x,48))^2+(INDEX(US_y,45)-INDEX(US_y,48))^2)</f>
        <v>31.011167343394217</v>
      </c>
      <c r="AZ60" s="31" t="s">
        <v>30</v>
      </c>
      <c r="BA60" s="34">
        <v>0.1</v>
      </c>
      <c r="BB60" s="34">
        <v>26.76</v>
      </c>
    </row>
    <row r="61" spans="3:54" ht="15" thickBot="1" thickTop="1">
      <c r="C61" s="26">
        <v>46</v>
      </c>
      <c r="D61" s="31">
        <f>SQRT((INDEX(US_x,46)-INDEX(US_x,1))^2+(INDEX(US_y,46)-INDEX(US_y,1))^2)</f>
        <v>15.417292239560098</v>
      </c>
      <c r="E61" s="31">
        <f>SQRT((INDEX(US_x,46)-INDEX(US_x,2))^2+(INDEX(US_y,46)-INDEX(US_y,2))^2)</f>
        <v>54.60747659432726</v>
      </c>
      <c r="F61" s="31">
        <f>SQRT((INDEX(US_x,46)-INDEX(US_x,3))^2+(INDEX(US_y,46)-INDEX(US_y,3))^2)</f>
        <v>20.22990360827258</v>
      </c>
      <c r="G61" s="31">
        <f>SQRT((INDEX(US_x,46)-INDEX(US_x,4))^2+(INDEX(US_y,46)-INDEX(US_y,4))^2)</f>
        <v>67.57805856933149</v>
      </c>
      <c r="H61" s="31">
        <f>SQRT((INDEX(US_x,46)-INDEX(US_x,5))^2+(INDEX(US_y,46)-INDEX(US_y,5))^2)</f>
        <v>39.61745322455747</v>
      </c>
      <c r="I61" s="31">
        <f>SQRT((INDEX(US_x,46)-INDEX(US_x,6))^2+(INDEX(US_y,46)-INDEX(US_y,6))^2)</f>
        <v>16.696784121500762</v>
      </c>
      <c r="J61" s="31">
        <f>SQRT((INDEX(US_x,46)-INDEX(US_x,7))^2+(INDEX(US_y,46)-INDEX(US_y,7))^2)</f>
        <v>10.533209387456424</v>
      </c>
      <c r="K61" s="31">
        <f>SQRT((INDEX(US_x,46)-INDEX(US_x,8))^2+(INDEX(US_y,46)-INDEX(US_y,8))^2)</f>
        <v>17.84765810967927</v>
      </c>
      <c r="L61" s="31">
        <f>SQRT((INDEX(US_x,46)-INDEX(US_x,9))^2+(INDEX(US_y,46)-INDEX(US_y,9))^2)</f>
        <v>11.117306328423265</v>
      </c>
      <c r="M61" s="31">
        <f>SQRT((INDEX(US_x,46)-INDEX(US_x,10))^2+(INDEX(US_y,46)-INDEX(US_y,10))^2)</f>
        <v>57.72708289875732</v>
      </c>
      <c r="N61" s="31">
        <f>SQRT((INDEX(US_x,46)-INDEX(US_x,11))^2+(INDEX(US_y,46)-INDEX(US_y,11))^2)</f>
        <v>13.93804146930263</v>
      </c>
      <c r="O61" s="31">
        <f>SQRT((INDEX(US_x,46)-INDEX(US_x,12))^2+(INDEX(US_y,46)-INDEX(US_y,12))^2)</f>
        <v>8.267551027964682</v>
      </c>
      <c r="P61" s="31">
        <f>SQRT((INDEX(US_x,46)-INDEX(US_x,13))^2+(INDEX(US_y,46)-INDEX(US_y,13))^2)</f>
        <v>21.25079292638276</v>
      </c>
      <c r="Q61" s="31">
        <f>SQRT((INDEX(US_x,46)-INDEX(US_x,14))^2+(INDEX(US_y,46)-INDEX(US_y,14))^2)</f>
        <v>23.949507301821466</v>
      </c>
      <c r="R61" s="31">
        <f>SQRT((INDEX(US_x,46)-INDEX(US_x,15))^2+(INDEX(US_y,46)-INDEX(US_y,15))^2)</f>
        <v>5.547071299343461</v>
      </c>
      <c r="S61" s="31">
        <f>SQRT((INDEX(US_x,46)-INDEX(US_x,16))^2+(INDEX(US_y,46)-INDEX(US_y,16))^2)</f>
        <v>24.271332884701653</v>
      </c>
      <c r="T61" s="31">
        <f>SQRT((INDEX(US_x,46)-INDEX(US_x,17))^2+(INDEX(US_y,46)-INDEX(US_y,17))^2)</f>
        <v>23.3385882177993</v>
      </c>
      <c r="U61" s="31">
        <f>SQRT((INDEX(US_x,46)-INDEX(US_x,18))^2+(INDEX(US_y,46)-INDEX(US_y,18))^2)</f>
        <v>8.862471438599965</v>
      </c>
      <c r="V61" s="31">
        <f>SQRT((INDEX(US_x,46)-INDEX(US_x,19))^2+(INDEX(US_y,46)-INDEX(US_y,19))^2)</f>
        <v>19.61765786224237</v>
      </c>
      <c r="W61" s="31">
        <f>SQRT((INDEX(US_x,46)-INDEX(US_x,20))^2+(INDEX(US_y,46)-INDEX(US_y,20))^2)</f>
        <v>10.701742848713936</v>
      </c>
      <c r="X61" s="31">
        <f>SQRT((INDEX(US_x,46)-INDEX(US_x,21))^2+(INDEX(US_y,46)-INDEX(US_y,21))^2)</f>
        <v>23.542200406928824</v>
      </c>
      <c r="Y61" s="31">
        <f>SQRT((INDEX(US_x,46)-INDEX(US_x,22))^2+(INDEX(US_y,46)-INDEX(US_y,22))^2)</f>
        <v>20.110009945298383</v>
      </c>
      <c r="Z61" s="31">
        <f>SQRT((INDEX(US_x,46)-INDEX(US_x,23))^2+(INDEX(US_y,46)-INDEX(US_y,23))^2)</f>
        <v>18.00940032316456</v>
      </c>
      <c r="AA61" s="31">
        <f>SQRT((INDEX(US_x,46)-INDEX(US_x,24))^2+(INDEX(US_y,46)-INDEX(US_y,24))^2)</f>
        <v>51.772707095534415</v>
      </c>
      <c r="AB61" s="31">
        <f>SQRT((INDEX(US_x,46)-INDEX(US_x,25))^2+(INDEX(US_y,46)-INDEX(US_y,25))^2)</f>
        <v>25.884823739017417</v>
      </c>
      <c r="AC61" s="31">
        <f>SQRT((INDEX(US_x,46)-INDEX(US_x,26))^2+(INDEX(US_y,46)-INDEX(US_y,26))^2)</f>
        <v>64.45897377402156</v>
      </c>
      <c r="AD61" s="31">
        <f>SQRT((INDEX(US_x,46)-INDEX(US_x,27))^2+(INDEX(US_y,46)-INDEX(US_y,27))^2)</f>
        <v>19.732663276912216</v>
      </c>
      <c r="AE61" s="31">
        <f>SQRT((INDEX(US_x,46)-INDEX(US_x,28))^2+(INDEX(US_y,46)-INDEX(US_y,28))^2)</f>
        <v>12.308127396155765</v>
      </c>
      <c r="AF61" s="31">
        <f>SQRT((INDEX(US_x,46)-INDEX(US_x,29))^2+(INDEX(US_y,46)-INDEX(US_y,29))^2)</f>
        <v>42.639264768520576</v>
      </c>
      <c r="AG61" s="31">
        <f>SQRT((INDEX(US_x,46)-INDEX(US_x,30))^2+(INDEX(US_y,46)-INDEX(US_y,30))^2)</f>
        <v>16.081647925508136</v>
      </c>
      <c r="AH61" s="31">
        <f>SQRT((INDEX(US_x,46)-INDEX(US_x,31))^2+(INDEX(US_y,46)-INDEX(US_y,31))^2)</f>
        <v>7.625667183925622</v>
      </c>
      <c r="AI61" s="31">
        <f>SQRT((INDEX(US_x,46)-INDEX(US_x,32))^2+(INDEX(US_y,46)-INDEX(US_y,32))^2)</f>
        <v>35.75638124866664</v>
      </c>
      <c r="AJ61" s="31">
        <f>SQRT((INDEX(US_x,46)-INDEX(US_x,33))^2+(INDEX(US_y,46)-INDEX(US_y,33))^2)</f>
        <v>4.213798761212964</v>
      </c>
      <c r="AK61" s="31">
        <f>SQRT((INDEX(US_x,46)-INDEX(US_x,34))^2+(INDEX(US_y,46)-INDEX(US_y,34))^2)</f>
        <v>28.38595779606529</v>
      </c>
      <c r="AL61" s="31">
        <f>SQRT((INDEX(US_x,46)-INDEX(US_x,35))^2+(INDEX(US_y,46)-INDEX(US_y,35))^2)</f>
        <v>68.28351558026284</v>
      </c>
      <c r="AM61" s="33">
        <f>SQRT((INDEX(US_x,46)-INDEX(US_x,36))^2+(INDEX(US_y,46)-INDEX(US_y,36))^2)</f>
        <v>9.01264112233479</v>
      </c>
      <c r="AN61" s="31">
        <f>SQRT((INDEX(US_x,46)-INDEX(US_x,37))^2+(INDEX(US_y,46)-INDEX(US_y,37))^2)</f>
        <v>18.65054690887107</v>
      </c>
      <c r="AO61" s="31">
        <f>SQRT((INDEX(US_x,46)-INDEX(US_x,38))^2+(INDEX(US_y,46)-INDEX(US_y,38))^2)</f>
        <v>9.503820284496129</v>
      </c>
      <c r="AP61" s="31">
        <f>SQRT((INDEX(US_x,46)-INDEX(US_x,39))^2+(INDEX(US_y,46)-INDEX(US_y,39))^2)</f>
        <v>33.27044484223196</v>
      </c>
      <c r="AQ61" s="31">
        <f>SQRT((INDEX(US_x,46)-INDEX(US_x,40))^2+(INDEX(US_y,46)-INDEX(US_y,40))^2)</f>
        <v>10.116619988909333</v>
      </c>
      <c r="AR61" s="31">
        <f>SQRT((INDEX(US_x,46)-INDEX(US_x,41))^2+(INDEX(US_y,46)-INDEX(US_y,41))^2)</f>
        <v>33.851577511247534</v>
      </c>
      <c r="AS61" s="31">
        <f>SQRT((INDEX(US_x,46)-INDEX(US_x,42))^2+(INDEX(US_y,46)-INDEX(US_y,42))^2)</f>
        <v>50.94080584364562</v>
      </c>
      <c r="AT61" s="31">
        <f>SQRT((INDEX(US_x,46)-INDEX(US_x,43))^2+(INDEX(US_y,46)-INDEX(US_y,43))^2)</f>
        <v>19.638138913858413</v>
      </c>
      <c r="AU61" s="31">
        <f>SQRT((INDEX(US_x,46)-INDEX(US_x,44))^2+(INDEX(US_y,46)-INDEX(US_y,44))^2)</f>
        <v>7.4385482454575875</v>
      </c>
      <c r="AV61" s="31">
        <f>SQRT((INDEX(US_x,46)-INDEX(US_x,45))^2+(INDEX(US_y,46)-INDEX(US_y,45))^2)</f>
        <v>68.04388142955985</v>
      </c>
      <c r="AW61" s="31" t="s">
        <v>30</v>
      </c>
      <c r="AX61" s="31">
        <f>SQRT((INDEX(US_x,46)-INDEX(US_x,47))^2+(INDEX(US_y,46)-INDEX(US_y,47))^2)</f>
        <v>16.43505095824165</v>
      </c>
      <c r="AY61" s="31">
        <f>SQRT((INDEX(US_x,46)-INDEX(US_x,48))^2+(INDEX(US_y,46)-INDEX(US_y,48))^2)</f>
        <v>39.272454723380854</v>
      </c>
      <c r="AZ61" s="31" t="s">
        <v>30</v>
      </c>
      <c r="BA61" s="34">
        <v>68.07</v>
      </c>
      <c r="BB61" s="34">
        <v>29.93</v>
      </c>
    </row>
    <row r="62" spans="3:54" ht="15" thickBot="1" thickTop="1">
      <c r="C62" s="26">
        <v>47</v>
      </c>
      <c r="D62" s="31">
        <f>SQRT((INDEX(US_x,47)-INDEX(US_x,1))^2+(INDEX(US_y,47)-INDEX(US_y,1))^2)</f>
        <v>23.78534422706554</v>
      </c>
      <c r="E62" s="31">
        <f>SQRT((INDEX(US_x,47)-INDEX(US_x,2))^2+(INDEX(US_y,47)-INDEX(US_y,2))^2)</f>
        <v>43.890554792574676</v>
      </c>
      <c r="F62" s="31">
        <f>SQRT((INDEX(US_x,47)-INDEX(US_x,3))^2+(INDEX(US_y,47)-INDEX(US_y,3))^2)</f>
        <v>18.66167463010755</v>
      </c>
      <c r="G62" s="31">
        <f>SQRT((INDEX(US_x,47)-INDEX(US_x,4))^2+(INDEX(US_y,47)-INDEX(US_y,4))^2)</f>
        <v>53.59901584917395</v>
      </c>
      <c r="H62" s="31">
        <f>SQRT((INDEX(US_x,47)-INDEX(US_x,5))^2+(INDEX(US_y,47)-INDEX(US_y,5))^2)</f>
        <v>26.509630325600543</v>
      </c>
      <c r="I62" s="31">
        <f>SQRT((INDEX(US_x,47)-INDEX(US_x,6))^2+(INDEX(US_y,47)-INDEX(US_y,6))^2)</f>
        <v>27.038729629921594</v>
      </c>
      <c r="J62" s="31">
        <f>SQRT((INDEX(US_x,47)-INDEX(US_x,7))^2+(INDEX(US_y,47)-INDEX(US_y,7))^2)</f>
        <v>24.31523802063225</v>
      </c>
      <c r="K62" s="31">
        <f>SQRT((INDEX(US_x,47)-INDEX(US_x,8))^2+(INDEX(US_y,47)-INDEX(US_y,8))^2)</f>
        <v>28.7862814548875</v>
      </c>
      <c r="L62" s="31">
        <f>SQRT((INDEX(US_x,47)-INDEX(US_x,9))^2+(INDEX(US_y,47)-INDEX(US_y,9))^2)</f>
        <v>21.953355096658914</v>
      </c>
      <c r="M62" s="31">
        <f>SQRT((INDEX(US_x,47)-INDEX(US_x,10))^2+(INDEX(US_y,47)-INDEX(US_y,10))^2)</f>
        <v>42.486480202530316</v>
      </c>
      <c r="N62" s="31">
        <f>SQRT((INDEX(US_x,47)-INDEX(US_x,11))^2+(INDEX(US_y,47)-INDEX(US_y,11))^2)</f>
        <v>7.107693015317979</v>
      </c>
      <c r="O62" s="31">
        <f>SQRT((INDEX(US_x,47)-INDEX(US_x,12))^2+(INDEX(US_y,47)-INDEX(US_y,12))^2)</f>
        <v>8.914263850705787</v>
      </c>
      <c r="P62" s="31">
        <f>SQRT((INDEX(US_x,47)-INDEX(US_x,13))^2+(INDEX(US_y,47)-INDEX(US_y,13))^2)</f>
        <v>7.553125181009513</v>
      </c>
      <c r="Q62" s="31">
        <f>SQRT((INDEX(US_x,47)-INDEX(US_x,14))^2+(INDEX(US_y,47)-INDEX(US_y,14))^2)</f>
        <v>13.505769137668539</v>
      </c>
      <c r="R62" s="31">
        <f>SQRT((INDEX(US_x,47)-INDEX(US_x,15))^2+(INDEX(US_y,47)-INDEX(US_y,15))^2)</f>
        <v>12.964833203709176</v>
      </c>
      <c r="S62" s="31">
        <f>SQRT((INDEX(US_x,47)-INDEX(US_x,16))^2+(INDEX(US_y,47)-INDEX(US_y,16))^2)</f>
        <v>27.482730941447574</v>
      </c>
      <c r="T62" s="31">
        <f>SQRT((INDEX(US_x,47)-INDEX(US_x,17))^2+(INDEX(US_y,47)-INDEX(US_y,17))^2)</f>
        <v>30.975719523523583</v>
      </c>
      <c r="U62" s="31">
        <f>SQRT((INDEX(US_x,47)-INDEX(US_x,18))^2+(INDEX(US_y,47)-INDEX(US_y,18))^2)</f>
        <v>23.01076487212018</v>
      </c>
      <c r="V62" s="31">
        <f>SQRT((INDEX(US_x,47)-INDEX(US_x,19))^2+(INDEX(US_y,47)-INDEX(US_y,19))^2)</f>
        <v>29.382705797798806</v>
      </c>
      <c r="W62" s="33">
        <f>SQRT((INDEX(US_x,47)-INDEX(US_x,20))^2+(INDEX(US_y,47)-INDEX(US_y,20))^2)</f>
        <v>7.765526382673617</v>
      </c>
      <c r="X62" s="31">
        <f>SQRT((INDEX(US_x,47)-INDEX(US_x,21))^2+(INDEX(US_y,47)-INDEX(US_y,21))^2)</f>
        <v>7.107214644289283</v>
      </c>
      <c r="Y62" s="31">
        <f>SQRT((INDEX(US_x,47)-INDEX(US_x,22))^2+(INDEX(US_y,47)-INDEX(US_y,22))^2)</f>
        <v>23.351573822764063</v>
      </c>
      <c r="Z62" s="31">
        <f>SQRT((INDEX(US_x,47)-INDEX(US_x,23))^2+(INDEX(US_y,47)-INDEX(US_y,23))^2)</f>
        <v>10.760910742125871</v>
      </c>
      <c r="AA62" s="31">
        <f>SQRT((INDEX(US_x,47)-INDEX(US_x,24))^2+(INDEX(US_y,47)-INDEX(US_y,24))^2)</f>
        <v>35.80266051566559</v>
      </c>
      <c r="AB62" s="31">
        <f>SQRT((INDEX(US_x,47)-INDEX(US_x,25))^2+(INDEX(US_y,47)-INDEX(US_y,25))^2)</f>
        <v>12.833471860724206</v>
      </c>
      <c r="AC62" s="31">
        <f>SQRT((INDEX(US_x,47)-INDEX(US_x,26))^2+(INDEX(US_y,47)-INDEX(US_y,26))^2)</f>
        <v>50.409923626206776</v>
      </c>
      <c r="AD62" s="31">
        <f>SQRT((INDEX(US_x,47)-INDEX(US_x,27))^2+(INDEX(US_y,47)-INDEX(US_y,27))^2)</f>
        <v>28.378902374827675</v>
      </c>
      <c r="AE62" s="31">
        <f>SQRT((INDEX(US_x,47)-INDEX(US_x,28))^2+(INDEX(US_y,47)-INDEX(US_y,28))^2)</f>
        <v>24.644400986836743</v>
      </c>
      <c r="AF62" s="31">
        <f>SQRT((INDEX(US_x,47)-INDEX(US_x,29))^2+(INDEX(US_y,47)-INDEX(US_y,29))^2)</f>
        <v>32.08125309273315</v>
      </c>
      <c r="AG62" s="31">
        <f>SQRT((INDEX(US_x,47)-INDEX(US_x,30))^2+(INDEX(US_y,47)-INDEX(US_y,30))^2)</f>
        <v>25.006785079253987</v>
      </c>
      <c r="AH62" s="31">
        <f>SQRT((INDEX(US_x,47)-INDEX(US_x,31))^2+(INDEX(US_y,47)-INDEX(US_y,31))^2)</f>
        <v>24.03840468916355</v>
      </c>
      <c r="AI62" s="31">
        <f>SQRT((INDEX(US_x,47)-INDEX(US_x,32))^2+(INDEX(US_y,47)-INDEX(US_y,32))^2)</f>
        <v>19.405692463810713</v>
      </c>
      <c r="AJ62" s="31">
        <f>SQRT((INDEX(US_x,47)-INDEX(US_x,33))^2+(INDEX(US_y,47)-INDEX(US_y,33))^2)</f>
        <v>12.439075528350171</v>
      </c>
      <c r="AK62" s="31">
        <f>SQRT((INDEX(US_x,47)-INDEX(US_x,34))^2+(INDEX(US_y,47)-INDEX(US_y,34))^2)</f>
        <v>21.39282356305497</v>
      </c>
      <c r="AL62" s="31">
        <f>SQRT((INDEX(US_x,47)-INDEX(US_x,35))^2+(INDEX(US_y,47)-INDEX(US_y,35))^2)</f>
        <v>52.66118874465331</v>
      </c>
      <c r="AM62" s="31">
        <f>SQRT((INDEX(US_x,47)-INDEX(US_x,36))^2+(INDEX(US_y,47)-INDEX(US_y,36))^2)</f>
        <v>21.277711343093273</v>
      </c>
      <c r="AN62" s="31">
        <f>SQRT((INDEX(US_x,47)-INDEX(US_x,37))^2+(INDEX(US_y,47)-INDEX(US_y,37))^2)</f>
        <v>29.03187558529418</v>
      </c>
      <c r="AO62" s="31">
        <f>SQRT((INDEX(US_x,47)-INDEX(US_x,38))^2+(INDEX(US_y,47)-INDEX(US_y,38))^2)</f>
        <v>24.28794968703616</v>
      </c>
      <c r="AP62" s="31">
        <f>SQRT((INDEX(US_x,47)-INDEX(US_x,39))^2+(INDEX(US_y,47)-INDEX(US_y,39))^2)</f>
        <v>17.542639482130387</v>
      </c>
      <c r="AQ62" s="31">
        <f>SQRT((INDEX(US_x,47)-INDEX(US_x,40))^2+(INDEX(US_y,47)-INDEX(US_y,40))^2)</f>
        <v>15.622179745477258</v>
      </c>
      <c r="AR62" s="31">
        <f>SQRT((INDEX(US_x,47)-INDEX(US_x,41))^2+(INDEX(US_y,47)-INDEX(US_y,41))^2)</f>
        <v>31.244077838848117</v>
      </c>
      <c r="AS62" s="31">
        <f>SQRT((INDEX(US_x,47)-INDEX(US_x,42))^2+(INDEX(US_y,47)-INDEX(US_y,42))^2)</f>
        <v>36.79549157165861</v>
      </c>
      <c r="AT62" s="31">
        <f>SQRT((INDEX(US_x,47)-INDEX(US_x,43))^2+(INDEX(US_y,47)-INDEX(US_y,43))^2)</f>
        <v>26.611850743606688</v>
      </c>
      <c r="AU62" s="31">
        <f>SQRT((INDEX(US_x,47)-INDEX(US_x,44))^2+(INDEX(US_y,47)-INDEX(US_y,44))^2)</f>
        <v>23.240776665163324</v>
      </c>
      <c r="AV62" s="31">
        <f>SQRT((INDEX(US_x,47)-INDEX(US_x,45))^2+(INDEX(US_y,47)-INDEX(US_y,45))^2)</f>
        <v>52.076241223805695</v>
      </c>
      <c r="AW62" s="31">
        <f>SQRT((INDEX(US_x,47)-INDEX(US_x,46))^2+(INDEX(US_y,47)-INDEX(US_y,46))^2)</f>
        <v>16.43505095824165</v>
      </c>
      <c r="AX62" s="31" t="s">
        <v>30</v>
      </c>
      <c r="AY62" s="31">
        <f>SQRT((INDEX(US_x,47)-INDEX(US_x,48))^2+(INDEX(US_y,47)-INDEX(US_y,48))^2)</f>
        <v>25.310274593532167</v>
      </c>
      <c r="AZ62" s="31" t="s">
        <v>30</v>
      </c>
      <c r="BA62" s="34">
        <v>51.85</v>
      </c>
      <c r="BB62" s="34">
        <v>32.58</v>
      </c>
    </row>
    <row r="63" spans="3:54" ht="15" thickBot="1" thickTop="1">
      <c r="C63" s="26">
        <v>48</v>
      </c>
      <c r="D63" s="31">
        <f>SQRT((INDEX(US_x,48)-INDEX(US_x,1))^2+(INDEX(US_y,48)-INDEX(US_y,1))^2)</f>
        <v>37.43079213695591</v>
      </c>
      <c r="E63" s="31">
        <f>SQRT((INDEX(US_x,48)-INDEX(US_x,2))^2+(INDEX(US_y,48)-INDEX(US_y,2))^2)</f>
        <v>20.872766946430463</v>
      </c>
      <c r="F63" s="31">
        <f>SQRT((INDEX(US_x,48)-INDEX(US_x,3))^2+(INDEX(US_y,48)-INDEX(US_y,3))^2)</f>
        <v>25.59955663678572</v>
      </c>
      <c r="G63" s="31">
        <f>SQRT((INDEX(US_x,48)-INDEX(US_x,4))^2+(INDEX(US_y,48)-INDEX(US_y,4))^2)</f>
        <v>28.437800547862345</v>
      </c>
      <c r="H63" s="33">
        <f>SQRT((INDEX(US_x,48)-INDEX(US_x,5))^2+(INDEX(US_y,48)-INDEX(US_y,5))^2)</f>
        <v>3.0378446306550972</v>
      </c>
      <c r="I63" s="31">
        <f>SQRT((INDEX(US_x,48)-INDEX(US_x,6))^2+(INDEX(US_y,48)-INDEX(US_y,6))^2)</f>
        <v>52.29959942485219</v>
      </c>
      <c r="J63" s="31">
        <f>SQRT((INDEX(US_x,48)-INDEX(US_x,7))^2+(INDEX(US_y,48)-INDEX(US_y,7))^2)</f>
        <v>48.83602768448719</v>
      </c>
      <c r="K63" s="31">
        <f>SQRT((INDEX(US_x,48)-INDEX(US_x,8))^2+(INDEX(US_y,48)-INDEX(US_y,8))^2)</f>
        <v>42.952112870032366</v>
      </c>
      <c r="L63" s="31">
        <f>SQRT((INDEX(US_x,48)-INDEX(US_x,9))^2+(INDEX(US_y,48)-INDEX(US_y,9))^2)</f>
        <v>38.754192031314496</v>
      </c>
      <c r="M63" s="31">
        <f>SQRT((INDEX(US_x,48)-INDEX(US_x,10))^2+(INDEX(US_y,48)-INDEX(US_y,10))^2)</f>
        <v>19.139932079294326</v>
      </c>
      <c r="N63" s="31">
        <f>SQRT((INDEX(US_x,48)-INDEX(US_x,11))^2+(INDEX(US_y,48)-INDEX(US_y,11))^2)</f>
        <v>25.335589592508008</v>
      </c>
      <c r="O63" s="31">
        <f>SQRT((INDEX(US_x,48)-INDEX(US_x,12))^2+(INDEX(US_y,48)-INDEX(US_y,12))^2)</f>
        <v>31.08684126764892</v>
      </c>
      <c r="P63" s="31">
        <f>SQRT((INDEX(US_x,48)-INDEX(US_x,13))^2+(INDEX(US_y,48)-INDEX(US_y,13))^2)</f>
        <v>18.35296433822068</v>
      </c>
      <c r="Q63" s="31">
        <f>SQRT((INDEX(US_x,48)-INDEX(US_x,14))^2+(INDEX(US_y,48)-INDEX(US_y,14))^2)</f>
        <v>15.91719196340862</v>
      </c>
      <c r="R63" s="31">
        <f>SQRT((INDEX(US_x,48)-INDEX(US_x,15))^2+(INDEX(US_y,48)-INDEX(US_y,15))^2)</f>
        <v>34.05592019018132</v>
      </c>
      <c r="S63" s="31">
        <f>SQRT((INDEX(US_x,48)-INDEX(US_x,16))^2+(INDEX(US_y,48)-INDEX(US_y,16))^2)</f>
        <v>33.3640300323567</v>
      </c>
      <c r="T63" s="31">
        <f>SQRT((INDEX(US_x,48)-INDEX(US_x,17))^2+(INDEX(US_y,48)-INDEX(US_y,17))^2)</f>
        <v>56.17856174734273</v>
      </c>
      <c r="U63" s="31">
        <f>SQRT((INDEX(US_x,48)-INDEX(US_x,18))^2+(INDEX(US_y,48)-INDEX(US_y,18))^2)</f>
        <v>47.350422384599696</v>
      </c>
      <c r="V63" s="31">
        <f>SQRT((INDEX(US_x,48)-INDEX(US_x,19))^2+(INDEX(US_y,48)-INDEX(US_y,19))^2)</f>
        <v>54.688794098974235</v>
      </c>
      <c r="W63" s="31">
        <f>SQRT((INDEX(US_x,48)-INDEX(US_x,20))^2+(INDEX(US_y,48)-INDEX(US_y,20))^2)</f>
        <v>33.01255821653329</v>
      </c>
      <c r="X63" s="31">
        <f>SQRT((INDEX(US_x,48)-INDEX(US_x,21))^2+(INDEX(US_y,48)-INDEX(US_y,21))^2)</f>
        <v>20.415506361587013</v>
      </c>
      <c r="Y63" s="31">
        <f>SQRT((INDEX(US_x,48)-INDEX(US_x,22))^2+(INDEX(US_y,48)-INDEX(US_y,22))^2)</f>
        <v>31.884648343677867</v>
      </c>
      <c r="Z63" s="31">
        <f>SQRT((INDEX(US_x,48)-INDEX(US_x,23))^2+(INDEX(US_y,48)-INDEX(US_y,23))^2)</f>
        <v>21.8919528594413</v>
      </c>
      <c r="AA63" s="31">
        <f>SQRT((INDEX(US_x,48)-INDEX(US_x,24))^2+(INDEX(US_y,48)-INDEX(US_y,24))^2)</f>
        <v>16.382273956932842</v>
      </c>
      <c r="AB63" s="31">
        <f>SQRT((INDEX(US_x,48)-INDEX(US_x,25))^2+(INDEX(US_y,48)-INDEX(US_y,25))^2)</f>
        <v>13.390504098053963</v>
      </c>
      <c r="AC63" s="31">
        <f>SQRT((INDEX(US_x,48)-INDEX(US_x,26))^2+(INDEX(US_y,48)-INDEX(US_y,26))^2)</f>
        <v>25.276866894455097</v>
      </c>
      <c r="AD63" s="31">
        <f>SQRT((INDEX(US_x,48)-INDEX(US_x,27))^2+(INDEX(US_y,48)-INDEX(US_y,27))^2)</f>
        <v>53.68067901955041</v>
      </c>
      <c r="AE63" s="31">
        <f>SQRT((INDEX(US_x,48)-INDEX(US_x,28))^2+(INDEX(US_y,48)-INDEX(US_y,28))^2)</f>
        <v>49.56797857488239</v>
      </c>
      <c r="AF63" s="31">
        <f>SQRT((INDEX(US_x,48)-INDEX(US_x,29))^2+(INDEX(US_y,48)-INDEX(US_y,29))^2)</f>
        <v>11.959565209488181</v>
      </c>
      <c r="AG63" s="31">
        <f>SQRT((INDEX(US_x,48)-INDEX(US_x,30))^2+(INDEX(US_y,48)-INDEX(US_y,30))^2)</f>
        <v>50.31335508590139</v>
      </c>
      <c r="AH63" s="31">
        <f>SQRT((INDEX(US_x,48)-INDEX(US_x,31))^2+(INDEX(US_y,48)-INDEX(US_y,31))^2)</f>
        <v>46.028648687529376</v>
      </c>
      <c r="AI63" s="31">
        <f>SQRT((INDEX(US_x,48)-INDEX(US_x,32))^2+(INDEX(US_y,48)-INDEX(US_y,32))^2)</f>
        <v>13.809608973464814</v>
      </c>
      <c r="AJ63" s="31">
        <f>SQRT((INDEX(US_x,48)-INDEX(US_x,33))^2+(INDEX(US_y,48)-INDEX(US_y,33))^2)</f>
        <v>36.18807814736782</v>
      </c>
      <c r="AK63" s="31">
        <f>SQRT((INDEX(US_x,48)-INDEX(US_x,34))^2+(INDEX(US_y,48)-INDEX(US_y,34))^2)</f>
        <v>17.509314663915315</v>
      </c>
      <c r="AL63" s="31">
        <f>SQRT((INDEX(US_x,48)-INDEX(US_x,35))^2+(INDEX(US_y,48)-INDEX(US_y,35))^2)</f>
        <v>30.124866804684796</v>
      </c>
      <c r="AM63" s="31">
        <f>SQRT((INDEX(US_x,48)-INDEX(US_x,36))^2+(INDEX(US_y,48)-INDEX(US_y,36))^2)</f>
        <v>46.070808545108044</v>
      </c>
      <c r="AN63" s="31">
        <f>SQRT((INDEX(US_x,48)-INDEX(US_x,37))^2+(INDEX(US_y,48)-INDEX(US_y,37))^2)</f>
        <v>54.31070796813461</v>
      </c>
      <c r="AO63" s="31">
        <f>SQRT((INDEX(US_x,48)-INDEX(US_x,38))^2+(INDEX(US_y,48)-INDEX(US_y,38))^2)</f>
        <v>43.794251905929386</v>
      </c>
      <c r="AP63" s="31">
        <f>SQRT((INDEX(US_x,48)-INDEX(US_x,39))^2+(INDEX(US_y,48)-INDEX(US_y,39))^2)</f>
        <v>9.996449369651206</v>
      </c>
      <c r="AQ63" s="31">
        <f>SQRT((INDEX(US_x,48)-INDEX(US_x,40))^2+(INDEX(US_y,48)-INDEX(US_y,40))^2)</f>
        <v>32.53729091365783</v>
      </c>
      <c r="AR63" s="31">
        <f>SQRT((INDEX(US_x,48)-INDEX(US_x,41))^2+(INDEX(US_y,48)-INDEX(US_y,41))^2)</f>
        <v>26.63953453046806</v>
      </c>
      <c r="AS63" s="31">
        <f>SQRT((INDEX(US_x,48)-INDEX(US_x,42))^2+(INDEX(US_y,48)-INDEX(US_y,42))^2)</f>
        <v>11.681515312663851</v>
      </c>
      <c r="AT63" s="31">
        <f>SQRT((INDEX(US_x,48)-INDEX(US_x,43))^2+(INDEX(US_y,48)-INDEX(US_y,43))^2)</f>
        <v>51.83232389156403</v>
      </c>
      <c r="AU63" s="31">
        <f>SQRT((INDEX(US_x,48)-INDEX(US_x,44))^2+(INDEX(US_y,48)-INDEX(US_y,44))^2)</f>
        <v>46.69732861738453</v>
      </c>
      <c r="AV63" s="31">
        <f>SQRT((INDEX(US_x,48)-INDEX(US_x,45))^2+(INDEX(US_y,48)-INDEX(US_y,45))^2)</f>
        <v>31.011167343394217</v>
      </c>
      <c r="AW63" s="31">
        <f>SQRT((INDEX(US_x,48)-INDEX(US_x,46))^2+(INDEX(US_y,48)-INDEX(US_y,46))^2)</f>
        <v>39.272454723380854</v>
      </c>
      <c r="AX63" s="31">
        <f>SQRT((INDEX(US_x,48)-INDEX(US_x,47))^2+(INDEX(US_y,48)-INDEX(US_y,47))^2)</f>
        <v>25.310274593532167</v>
      </c>
      <c r="AY63" s="31" t="s">
        <v>30</v>
      </c>
      <c r="AZ63" s="31" t="s">
        <v>30</v>
      </c>
      <c r="BA63" s="34">
        <v>30.23</v>
      </c>
      <c r="BB63" s="34">
        <v>19.42</v>
      </c>
    </row>
    <row r="64" spans="3:54" ht="15" thickBot="1" thickTop="1">
      <c r="C64" s="26">
        <v>49</v>
      </c>
      <c r="D64" s="31" t="s">
        <v>30</v>
      </c>
      <c r="E64" s="31">
        <f>SQRT((INDEX(US_x,49)-INDEX(US_x,2))^2+(INDEX(US_y,49)-INDEX(US_y,2))^2)</f>
        <v>47.26653149957166</v>
      </c>
      <c r="F64" s="31">
        <f>SQRT((INDEX(US_x,49)-INDEX(US_x,3))^2+(INDEX(US_y,49)-INDEX(US_y,3))^2)</f>
        <v>12.043492018513573</v>
      </c>
      <c r="G64" s="31">
        <f>SQRT((INDEX(US_x,49)-INDEX(US_x,4))^2+(INDEX(US_y,49)-INDEX(US_y,4))^2)</f>
        <v>63.62502102160754</v>
      </c>
      <c r="H64" s="31">
        <f>SQRT((INDEX(US_x,49)-INDEX(US_x,5))^2+(INDEX(US_y,49)-INDEX(US_y,5))^2)</f>
        <v>36.569912496477215</v>
      </c>
      <c r="I64" s="31">
        <f>SQRT((INDEX(US_x,49)-INDEX(US_x,6))^2+(INDEX(US_y,49)-INDEX(US_y,6))^2)</f>
        <v>31.295208898487957</v>
      </c>
      <c r="J64" s="31">
        <f>SQRT((INDEX(US_x,49)-INDEX(US_x,7))^2+(INDEX(US_y,49)-INDEX(US_y,7))^2)</f>
        <v>24.135223222502</v>
      </c>
      <c r="K64" s="31">
        <f>SQRT((INDEX(US_x,49)-INDEX(US_x,8))^2+(INDEX(US_y,49)-INDEX(US_y,8))^2)</f>
        <v>5.623041881401918</v>
      </c>
      <c r="L64" s="31">
        <f>SQRT((INDEX(US_x,49)-INDEX(US_x,9))^2+(INDEX(US_y,49)-INDEX(US_y,9))^2)</f>
        <v>4.620822437618656</v>
      </c>
      <c r="M64" s="31">
        <f>SQRT((INDEX(US_x,49)-INDEX(US_x,10))^2+(INDEX(US_y,49)-INDEX(US_y,10))^2)</f>
        <v>56.53503338638795</v>
      </c>
      <c r="N64" s="31">
        <f>SQRT((INDEX(US_x,49)-INDEX(US_x,11))^2+(INDEX(US_y,49)-INDEX(US_y,11))^2)</f>
        <v>17.123565633360364</v>
      </c>
      <c r="O64" s="31">
        <f>SQRT((INDEX(US_x,49)-INDEX(US_x,12))^2+(INDEX(US_y,49)-INDEX(US_y,12))^2)</f>
        <v>16.03566337885652</v>
      </c>
      <c r="P64" s="31">
        <f>SQRT((INDEX(US_x,49)-INDEX(US_x,13))^2+(INDEX(US_y,49)-INDEX(US_y,13))^2)</f>
        <v>23.671977103740193</v>
      </c>
      <c r="Q64" s="31">
        <f>SQRT((INDEX(US_x,49)-INDEX(US_x,14))^2+(INDEX(US_y,49)-INDEX(US_y,14))^2)</f>
        <v>22.00365424196627</v>
      </c>
      <c r="R64" s="31">
        <f>SQRT((INDEX(US_x,49)-INDEX(US_x,15))^2+(INDEX(US_y,49)-INDEX(US_y,15))^2)</f>
        <v>12.894452295464124</v>
      </c>
      <c r="S64" s="31">
        <f>SQRT((INDEX(US_x,49)-INDEX(US_x,16))^2+(INDEX(US_y,49)-INDEX(US_y,16))^2)</f>
        <v>10.038849535678878</v>
      </c>
      <c r="T64" s="31">
        <f>SQRT((INDEX(US_x,49)-INDEX(US_x,17))^2+(INDEX(US_y,49)-INDEX(US_y,17))^2)</f>
        <v>38.32687046968485</v>
      </c>
      <c r="U64" s="31">
        <f>SQRT((INDEX(US_x,49)-INDEX(US_x,18))^2+(INDEX(US_y,49)-INDEX(US_y,18))^2)</f>
        <v>22.57598945782886</v>
      </c>
      <c r="V64" s="31">
        <f>SQRT((INDEX(US_x,49)-INDEX(US_x,19))^2+(INDEX(US_y,49)-INDEX(US_y,19))^2)</f>
        <v>34.18903917924573</v>
      </c>
      <c r="W64" s="31">
        <f>SQRT((INDEX(US_x,49)-INDEX(US_x,20))^2+(INDEX(US_y,49)-INDEX(US_y,20))^2)</f>
        <v>22.669847815986767</v>
      </c>
      <c r="X64" s="31">
        <f>SQRT((INDEX(US_x,49)-INDEX(US_x,21))^2+(INDEX(US_y,49)-INDEX(US_y,21))^2)</f>
        <v>29.560204667762367</v>
      </c>
      <c r="Y64" s="33">
        <f>SQRT((INDEX(US_x,49)-INDEX(US_x,22))^2+(INDEX(US_y,49)-INDEX(US_y,22))^2)</f>
        <v>7.199569431570201</v>
      </c>
      <c r="Z64" s="31">
        <f>SQRT((INDEX(US_x,49)-INDEX(US_x,23))^2+(INDEX(US_y,49)-INDEX(US_y,23))^2)</f>
        <v>16.993133907552192</v>
      </c>
      <c r="AA64" s="31">
        <f>SQRT((INDEX(US_x,49)-INDEX(US_x,24))^2+(INDEX(US_y,49)-INDEX(US_y,24))^2)</f>
        <v>52.78156591083672</v>
      </c>
      <c r="AB64" s="31">
        <f>SQRT((INDEX(US_x,49)-INDEX(US_x,25))^2+(INDEX(US_y,49)-INDEX(US_y,25))^2)</f>
        <v>25.778847918400082</v>
      </c>
      <c r="AC64" s="31">
        <f>SQRT((INDEX(US_x,49)-INDEX(US_x,26))^2+(INDEX(US_y,49)-INDEX(US_y,26))^2)</f>
        <v>60.754662372529076</v>
      </c>
      <c r="AD64" s="31">
        <f>SQRT((INDEX(US_x,49)-INDEX(US_x,27))^2+(INDEX(US_y,49)-INDEX(US_y,27))^2)</f>
        <v>34.646784843618605</v>
      </c>
      <c r="AE64" s="31">
        <f>SQRT((INDEX(US_x,49)-INDEX(US_x,28))^2+(INDEX(US_y,49)-INDEX(US_y,28))^2)</f>
        <v>26.536829124821978</v>
      </c>
      <c r="AF64" s="31">
        <f>SQRT((INDEX(US_x,49)-INDEX(US_x,29))^2+(INDEX(US_y,49)-INDEX(US_y,29))^2)</f>
        <v>36.24645913741093</v>
      </c>
      <c r="AG64" s="31">
        <f>SQRT((INDEX(US_x,49)-INDEX(US_x,30))^2+(INDEX(US_y,49)-INDEX(US_y,30))^2)</f>
        <v>31.1492102628622</v>
      </c>
      <c r="AH64" s="31">
        <f>SQRT((INDEX(US_x,49)-INDEX(US_x,31))^2+(INDEX(US_y,49)-INDEX(US_y,31))^2)</f>
        <v>15.731576526209954</v>
      </c>
      <c r="AI64" s="31">
        <f>SQRT((INDEX(US_x,49)-INDEX(US_x,32))^2+(INDEX(US_y,49)-INDEX(US_y,32))^2)</f>
        <v>39.50066455137179</v>
      </c>
      <c r="AJ64" s="31">
        <f>SQRT((INDEX(US_x,49)-INDEX(US_x,33))^2+(INDEX(US_y,49)-INDEX(US_y,33))^2)</f>
        <v>17.473591502607587</v>
      </c>
      <c r="AK64" s="31">
        <f>SQRT((INDEX(US_x,49)-INDEX(US_x,34))^2+(INDEX(US_y,49)-INDEX(US_y,34))^2)</f>
        <v>21.41238193195704</v>
      </c>
      <c r="AL64" s="31">
        <f>SQRT((INDEX(US_x,49)-INDEX(US_x,35))^2+(INDEX(US_y,49)-INDEX(US_y,35))^2)</f>
        <v>67.54234967781325</v>
      </c>
      <c r="AM64" s="31">
        <f>SQRT((INDEX(US_x,49)-INDEX(US_x,36))^2+(INDEX(US_y,49)-INDEX(US_y,36))^2)</f>
        <v>23.82115026609756</v>
      </c>
      <c r="AN64" s="31">
        <f>SQRT((INDEX(US_x,49)-INDEX(US_x,37))^2+(INDEX(US_y,49)-INDEX(US_y,37))^2)</f>
        <v>33.058959451259206</v>
      </c>
      <c r="AO64" s="31">
        <f>SQRT((INDEX(US_x,49)-INDEX(US_x,38))^2+(INDEX(US_y,49)-INDEX(US_y,38))^2)</f>
        <v>10.289047574970192</v>
      </c>
      <c r="AP64" s="31">
        <f>SQRT((INDEX(US_x,49)-INDEX(US_x,39))^2+(INDEX(US_y,49)-INDEX(US_y,39))^2)</f>
        <v>35.29288313527247</v>
      </c>
      <c r="AQ64" s="31">
        <f>SQRT((INDEX(US_x,49)-INDEX(US_x,40))^2+(INDEX(US_y,49)-INDEX(US_y,40))^2)</f>
        <v>8.243136538963798</v>
      </c>
      <c r="AR64" s="31">
        <f>SQRT((INDEX(US_x,49)-INDEX(US_x,41))^2+(INDEX(US_y,49)-INDEX(US_y,41))^2)</f>
        <v>21.870002286236737</v>
      </c>
      <c r="AS64" s="31">
        <f>SQRT((INDEX(US_x,49)-INDEX(US_x,42))^2+(INDEX(US_y,49)-INDEX(US_y,42))^2)</f>
        <v>48.19396227744717</v>
      </c>
      <c r="AT64" s="31">
        <f>SQRT((INDEX(US_x,49)-INDEX(US_x,43))^2+(INDEX(US_y,49)-INDEX(US_y,43))^2)</f>
        <v>34.88987245605808</v>
      </c>
      <c r="AU64" s="31">
        <f>SQRT((INDEX(US_x,49)-INDEX(US_x,44))^2+(INDEX(US_y,49)-INDEX(US_y,44))^2)</f>
        <v>19.469003569777268</v>
      </c>
      <c r="AV64" s="31">
        <f>SQRT((INDEX(US_x,49)-INDEX(US_x,45))^2+(INDEX(US_y,49)-INDEX(US_y,45))^2)</f>
        <v>68.34318181062396</v>
      </c>
      <c r="AW64" s="31">
        <f>SQRT((INDEX(US_x,49)-INDEX(US_x,46))^2+(INDEX(US_y,49)-INDEX(US_y,46))^2)</f>
        <v>15.417292239560098</v>
      </c>
      <c r="AX64" s="31">
        <f>SQRT((INDEX(US_x,49)-INDEX(US_x,47))^2+(INDEX(US_y,49)-INDEX(US_y,47))^2)</f>
        <v>23.78534422706554</v>
      </c>
      <c r="AY64" s="31">
        <f>SQRT((INDEX(US_x,49)-INDEX(US_x,48))^2+(INDEX(US_y,49)-INDEX(US_y,48))^2)</f>
        <v>37.43079213695591</v>
      </c>
      <c r="AZ64" s="31" t="s">
        <v>30</v>
      </c>
      <c r="BA64" s="34">
        <v>67.34</v>
      </c>
      <c r="BB64" s="34">
        <v>14.53</v>
      </c>
    </row>
    <row r="65" ht="13.5" thickTop="1"/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D58"/>
  <sheetViews>
    <sheetView zoomScale="20" zoomScaleNormal="20" workbookViewId="0" topLeftCell="A1">
      <selection activeCell="CQ97" sqref="CQ97:CQ99"/>
    </sheetView>
  </sheetViews>
  <sheetFormatPr defaultColWidth="11.00390625" defaultRowHeight="12.75"/>
  <cols>
    <col min="3" max="82" width="5.75390625" style="0" customWidth="1"/>
  </cols>
  <sheetData>
    <row r="1" ht="18">
      <c r="A1" s="1" t="s">
        <v>93</v>
      </c>
    </row>
    <row r="2" spans="2:50" ht="12.75">
      <c r="B2" s="15" t="s">
        <v>34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</row>
    <row r="3" spans="2:50" ht="12.75">
      <c r="B3" s="15" t="s">
        <v>35</v>
      </c>
      <c r="C3">
        <v>1</v>
      </c>
      <c r="D3">
        <v>8</v>
      </c>
      <c r="E3">
        <v>38</v>
      </c>
      <c r="F3">
        <v>31</v>
      </c>
      <c r="G3">
        <v>44</v>
      </c>
      <c r="H3">
        <v>18</v>
      </c>
      <c r="I3">
        <v>7</v>
      </c>
      <c r="J3">
        <v>28</v>
      </c>
      <c r="K3">
        <v>6</v>
      </c>
      <c r="L3">
        <v>37</v>
      </c>
      <c r="M3">
        <v>19</v>
      </c>
      <c r="N3">
        <v>27</v>
      </c>
      <c r="O3">
        <v>17</v>
      </c>
      <c r="P3">
        <v>43</v>
      </c>
      <c r="Q3">
        <v>30</v>
      </c>
      <c r="R3">
        <v>36</v>
      </c>
      <c r="S3">
        <v>46</v>
      </c>
      <c r="T3">
        <v>33</v>
      </c>
      <c r="U3">
        <v>20</v>
      </c>
      <c r="V3">
        <v>47</v>
      </c>
      <c r="W3">
        <v>21</v>
      </c>
      <c r="X3">
        <v>32</v>
      </c>
      <c r="Y3">
        <v>39</v>
      </c>
      <c r="Z3">
        <v>48</v>
      </c>
      <c r="AA3">
        <v>5</v>
      </c>
      <c r="AB3">
        <v>42</v>
      </c>
      <c r="AC3">
        <v>24</v>
      </c>
      <c r="AD3">
        <v>10</v>
      </c>
      <c r="AE3">
        <v>45</v>
      </c>
      <c r="AF3">
        <v>35</v>
      </c>
      <c r="AG3">
        <v>4</v>
      </c>
      <c r="AH3">
        <v>26</v>
      </c>
      <c r="AI3">
        <v>2</v>
      </c>
      <c r="AJ3">
        <v>29</v>
      </c>
      <c r="AK3">
        <v>34</v>
      </c>
      <c r="AL3">
        <v>41</v>
      </c>
      <c r="AM3">
        <v>16</v>
      </c>
      <c r="AN3">
        <v>22</v>
      </c>
      <c r="AO3">
        <v>3</v>
      </c>
      <c r="AP3">
        <v>23</v>
      </c>
      <c r="AQ3">
        <v>14</v>
      </c>
      <c r="AR3">
        <v>25</v>
      </c>
      <c r="AS3">
        <v>13</v>
      </c>
      <c r="AT3">
        <v>11</v>
      </c>
      <c r="AU3">
        <v>12</v>
      </c>
      <c r="AV3">
        <v>15</v>
      </c>
      <c r="AW3">
        <v>40</v>
      </c>
      <c r="AX3">
        <v>9</v>
      </c>
    </row>
    <row r="4" ht="34.5" customHeight="1">
      <c r="B4" s="15" t="s">
        <v>29</v>
      </c>
    </row>
    <row r="5" ht="34.5" customHeight="1">
      <c r="B5" s="2">
        <v>52</v>
      </c>
    </row>
    <row r="6" spans="2:80" ht="34.5" customHeight="1">
      <c r="B6" s="2">
        <v>51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2:80" ht="34.5" customHeight="1">
      <c r="B7" s="2">
        <v>50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2:80" ht="34.5" customHeight="1">
      <c r="B8" s="2">
        <v>49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2:80" ht="34.5" customHeight="1">
      <c r="B9" s="2">
        <v>48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spans="2:80" ht="34.5" customHeight="1">
      <c r="B10" s="2">
        <v>47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2:80" ht="34.5" customHeight="1">
      <c r="B11" s="2">
        <v>46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2:80" ht="34.5" customHeight="1">
      <c r="B12" s="2">
        <v>45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</row>
    <row r="13" spans="2:80" ht="34.5" customHeight="1">
      <c r="B13" s="2">
        <v>44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4" spans="2:80" ht="34.5" customHeight="1">
      <c r="B14" s="2">
        <v>43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2:80" ht="34.5" customHeight="1">
      <c r="B15" s="2">
        <v>42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</row>
    <row r="16" spans="2:80" ht="34.5" customHeight="1">
      <c r="B16" s="2">
        <v>41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spans="2:80" ht="34.5" customHeight="1">
      <c r="B17" s="2">
        <v>40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</row>
    <row r="18" spans="2:80" ht="34.5" customHeight="1">
      <c r="B18" s="2">
        <v>39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</row>
    <row r="19" spans="2:80" ht="34.5" customHeight="1">
      <c r="B19" s="2">
        <v>38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</row>
    <row r="20" spans="2:80" ht="34.5" customHeight="1">
      <c r="B20" s="2">
        <v>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</row>
    <row r="21" spans="2:80" ht="34.5" customHeight="1">
      <c r="B21" s="2">
        <v>36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</row>
    <row r="22" spans="2:80" ht="34.5" customHeight="1">
      <c r="B22" s="2">
        <v>35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</row>
    <row r="23" spans="2:80" ht="34.5" customHeight="1">
      <c r="B23" s="2">
        <v>34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</row>
    <row r="24" spans="2:80" ht="34.5" customHeight="1">
      <c r="B24" s="2">
        <v>33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</row>
    <row r="25" spans="2:80" ht="34.5" customHeight="1">
      <c r="B25" s="2">
        <v>32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</row>
    <row r="26" spans="2:80" ht="34.5" customHeight="1">
      <c r="B26" s="2">
        <v>31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</row>
    <row r="27" spans="2:80" ht="34.5" customHeight="1">
      <c r="B27" s="2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2:80" ht="34.5" customHeight="1">
      <c r="B28" s="2">
        <v>29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</row>
    <row r="29" spans="2:80" ht="34.5" customHeight="1">
      <c r="B29" s="2">
        <v>28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2:80" ht="34.5" customHeight="1">
      <c r="B30" s="2">
        <v>27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</row>
    <row r="31" spans="2:80" ht="34.5" customHeight="1">
      <c r="B31" s="2">
        <v>26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</row>
    <row r="32" spans="2:80" ht="34.5" customHeight="1">
      <c r="B32" s="2">
        <v>25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2:80" ht="34.5" customHeight="1">
      <c r="B33" s="2">
        <v>24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2:80" ht="34.5" customHeight="1">
      <c r="B34" s="2">
        <v>23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2:80" ht="34.5" customHeight="1">
      <c r="B35" s="2">
        <v>22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2:80" ht="34.5" customHeight="1">
      <c r="B36" s="2">
        <v>21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2:80" ht="34.5" customHeight="1">
      <c r="B37" s="2">
        <v>20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2:80" ht="34.5" customHeight="1">
      <c r="B38" s="2">
        <v>19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2:80" ht="34.5" customHeight="1">
      <c r="B39" s="2">
        <v>18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2:80" ht="34.5" customHeight="1">
      <c r="B40" s="2">
        <v>17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spans="2:80" ht="34.5" customHeight="1">
      <c r="B41" s="2">
        <v>16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2:80" ht="34.5" customHeight="1">
      <c r="B42" s="2">
        <v>15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</row>
    <row r="43" spans="2:80" ht="34.5" customHeight="1">
      <c r="B43" s="2">
        <v>14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</row>
    <row r="44" spans="2:80" ht="34.5" customHeight="1">
      <c r="B44" s="2">
        <v>13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</row>
    <row r="45" spans="2:80" ht="34.5" customHeight="1">
      <c r="B45" s="2">
        <v>12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2:80" ht="34.5" customHeight="1">
      <c r="B46" s="2">
        <v>11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2:80" ht="34.5" customHeight="1">
      <c r="B47" s="2">
        <v>10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2:80" ht="34.5" customHeight="1">
      <c r="B48" s="2">
        <v>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pans="2:80" ht="34.5" customHeight="1">
      <c r="B49" s="2">
        <v>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2:80" ht="34.5" customHeight="1">
      <c r="B50" s="2">
        <v>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2:80" ht="34.5" customHeight="1">
      <c r="B51" s="2">
        <v>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2:80" ht="34.5" customHeight="1">
      <c r="B52" s="2">
        <v>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</row>
    <row r="53" spans="2:80" ht="34.5" customHeight="1">
      <c r="B53" s="2">
        <v>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2:80" ht="34.5" customHeight="1">
      <c r="B54" s="2">
        <v>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2:80" ht="34.5" customHeight="1">
      <c r="B55" s="2">
        <v>2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</row>
    <row r="56" spans="2:80" ht="34.5" customHeight="1">
      <c r="B56" s="2">
        <v>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</row>
    <row r="57" spans="2:80" ht="34.5" customHeight="1">
      <c r="B57" s="2">
        <v>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</row>
    <row r="58" spans="3:82" ht="34.5" customHeight="1">
      <c r="C58" s="16">
        <v>0</v>
      </c>
      <c r="D58" s="16">
        <v>1</v>
      </c>
      <c r="E58" s="16">
        <v>2</v>
      </c>
      <c r="F58" s="16">
        <v>3</v>
      </c>
      <c r="G58" s="16">
        <v>4</v>
      </c>
      <c r="H58" s="16">
        <v>5</v>
      </c>
      <c r="I58" s="16">
        <v>6</v>
      </c>
      <c r="J58" s="16">
        <v>7</v>
      </c>
      <c r="K58" s="16">
        <v>8</v>
      </c>
      <c r="L58" s="16">
        <v>9</v>
      </c>
      <c r="M58" s="16">
        <v>10</v>
      </c>
      <c r="N58" s="16">
        <v>11</v>
      </c>
      <c r="O58" s="16">
        <v>12</v>
      </c>
      <c r="P58" s="16">
        <v>13</v>
      </c>
      <c r="Q58" s="16">
        <v>14</v>
      </c>
      <c r="R58" s="16">
        <v>15</v>
      </c>
      <c r="S58" s="16">
        <v>16</v>
      </c>
      <c r="T58" s="16">
        <v>17</v>
      </c>
      <c r="U58" s="16">
        <v>18</v>
      </c>
      <c r="V58" s="16">
        <v>19</v>
      </c>
      <c r="W58" s="16">
        <v>20</v>
      </c>
      <c r="X58" s="16">
        <v>21</v>
      </c>
      <c r="Y58" s="16">
        <v>22</v>
      </c>
      <c r="Z58" s="16">
        <v>23</v>
      </c>
      <c r="AA58" s="16">
        <v>24</v>
      </c>
      <c r="AB58" s="16">
        <v>25</v>
      </c>
      <c r="AC58" s="16">
        <v>26</v>
      </c>
      <c r="AD58" s="16">
        <v>27</v>
      </c>
      <c r="AE58" s="16">
        <v>28</v>
      </c>
      <c r="AF58" s="16">
        <v>29</v>
      </c>
      <c r="AG58" s="16">
        <v>30</v>
      </c>
      <c r="AH58" s="16">
        <v>31</v>
      </c>
      <c r="AI58" s="16">
        <v>32</v>
      </c>
      <c r="AJ58" s="16">
        <v>33</v>
      </c>
      <c r="AK58" s="16">
        <v>34</v>
      </c>
      <c r="AL58" s="16">
        <v>35</v>
      </c>
      <c r="AM58" s="16">
        <v>36</v>
      </c>
      <c r="AN58" s="16">
        <v>37</v>
      </c>
      <c r="AO58" s="16">
        <v>38</v>
      </c>
      <c r="AP58" s="16">
        <v>39</v>
      </c>
      <c r="AQ58" s="16">
        <v>40</v>
      </c>
      <c r="AR58" s="16">
        <v>41</v>
      </c>
      <c r="AS58" s="16">
        <v>42</v>
      </c>
      <c r="AT58" s="16">
        <v>43</v>
      </c>
      <c r="AU58" s="16">
        <v>44</v>
      </c>
      <c r="AV58" s="16">
        <v>45</v>
      </c>
      <c r="AW58" s="16">
        <v>46</v>
      </c>
      <c r="AX58" s="16">
        <v>47</v>
      </c>
      <c r="AY58" s="16">
        <v>48</v>
      </c>
      <c r="AZ58" s="16">
        <v>49</v>
      </c>
      <c r="BA58" s="16">
        <v>50</v>
      </c>
      <c r="BB58" s="16">
        <v>51</v>
      </c>
      <c r="BC58" s="16">
        <v>52</v>
      </c>
      <c r="BD58" s="16">
        <v>53</v>
      </c>
      <c r="BE58" s="16">
        <v>54</v>
      </c>
      <c r="BF58" s="16">
        <v>55</v>
      </c>
      <c r="BG58" s="16">
        <v>56</v>
      </c>
      <c r="BH58" s="16">
        <v>57</v>
      </c>
      <c r="BI58" s="16">
        <v>58</v>
      </c>
      <c r="BJ58" s="16">
        <v>59</v>
      </c>
      <c r="BK58" s="16">
        <v>60</v>
      </c>
      <c r="BL58" s="16">
        <v>61</v>
      </c>
      <c r="BM58" s="16">
        <v>62</v>
      </c>
      <c r="BN58" s="16">
        <v>63</v>
      </c>
      <c r="BO58" s="16">
        <v>64</v>
      </c>
      <c r="BP58" s="16">
        <v>65</v>
      </c>
      <c r="BQ58" s="16">
        <v>66</v>
      </c>
      <c r="BR58" s="16">
        <v>67</v>
      </c>
      <c r="BS58" s="16">
        <v>68</v>
      </c>
      <c r="BT58" s="16">
        <v>69</v>
      </c>
      <c r="BU58" s="16">
        <v>70</v>
      </c>
      <c r="BV58" s="16">
        <v>71</v>
      </c>
      <c r="BW58" s="16">
        <v>72</v>
      </c>
      <c r="BX58" s="16">
        <v>73</v>
      </c>
      <c r="BY58" s="16">
        <v>74</v>
      </c>
      <c r="BZ58" s="16">
        <v>75</v>
      </c>
      <c r="CA58" s="16">
        <v>76</v>
      </c>
      <c r="CB58" s="16">
        <v>77</v>
      </c>
      <c r="CC58" s="16">
        <v>78</v>
      </c>
      <c r="CD58" s="17" t="s"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49"/>
  <sheetViews>
    <sheetView workbookViewId="0" topLeftCell="A1">
      <selection activeCell="G39" sqref="G39"/>
    </sheetView>
  </sheetViews>
  <sheetFormatPr defaultColWidth="9.25390625" defaultRowHeight="12.75"/>
  <cols>
    <col min="1" max="16384" width="9.25390625" style="22" customWidth="1"/>
  </cols>
  <sheetData>
    <row r="1" spans="1:12" ht="12.75">
      <c r="A1" s="22" t="s">
        <v>94</v>
      </c>
      <c r="B1" s="22" t="s">
        <v>28</v>
      </c>
      <c r="C1" s="22" t="s">
        <v>29</v>
      </c>
      <c r="D1" s="22" t="s">
        <v>95</v>
      </c>
      <c r="E1" s="22" t="s">
        <v>96</v>
      </c>
      <c r="F1" s="22" t="s">
        <v>48</v>
      </c>
      <c r="G1" s="22" t="s">
        <v>97</v>
      </c>
      <c r="H1" s="22" t="s">
        <v>98</v>
      </c>
      <c r="J1" s="22" t="s">
        <v>94</v>
      </c>
      <c r="K1" s="22" t="s">
        <v>99</v>
      </c>
      <c r="L1" s="22" t="s">
        <v>100</v>
      </c>
    </row>
    <row r="2" spans="1:12" ht="13.5">
      <c r="A2" s="35">
        <v>1</v>
      </c>
      <c r="B2" s="35">
        <v>6734</v>
      </c>
      <c r="C2" s="35">
        <v>1453</v>
      </c>
      <c r="D2" s="35">
        <v>67.34</v>
      </c>
      <c r="E2" s="35">
        <v>14.53</v>
      </c>
      <c r="F2" s="35"/>
      <c r="G2" s="22">
        <v>1</v>
      </c>
      <c r="H2" s="22">
        <v>1</v>
      </c>
      <c r="J2" s="22">
        <v>1</v>
      </c>
      <c r="K2" s="22">
        <f>MATCH(J2,$H$2:$H$49,0)</f>
        <v>1</v>
      </c>
      <c r="L2" s="22">
        <f>INDEX($H$2:$H$49,K2+1)</f>
        <v>8</v>
      </c>
    </row>
    <row r="3" spans="1:12" ht="13.5">
      <c r="A3" s="35">
        <v>2</v>
      </c>
      <c r="B3" s="35">
        <v>2233</v>
      </c>
      <c r="C3" s="35">
        <v>10</v>
      </c>
      <c r="D3" s="35">
        <v>22.33</v>
      </c>
      <c r="E3" s="35">
        <v>0.1</v>
      </c>
      <c r="F3" s="35"/>
      <c r="G3" s="22">
        <v>2</v>
      </c>
      <c r="H3" s="22">
        <v>8</v>
      </c>
      <c r="J3" s="22">
        <v>2</v>
      </c>
      <c r="K3" s="22">
        <f aca="true" t="shared" si="0" ref="K3:K49">MATCH(J3,$H$2:$H$49,0)</f>
        <v>33</v>
      </c>
      <c r="L3" s="22">
        <f aca="true" t="shared" si="1" ref="L3:L49">INDEX($H$2:$H$49,K3+1)</f>
        <v>29</v>
      </c>
    </row>
    <row r="4" spans="1:12" ht="13.5">
      <c r="A4" s="35">
        <v>3</v>
      </c>
      <c r="B4" s="35">
        <v>5530</v>
      </c>
      <c r="C4" s="35">
        <v>1424</v>
      </c>
      <c r="D4" s="35">
        <v>55.3</v>
      </c>
      <c r="E4" s="35">
        <v>14.24</v>
      </c>
      <c r="F4" s="35"/>
      <c r="G4" s="22">
        <v>3</v>
      </c>
      <c r="H4" s="22">
        <v>38</v>
      </c>
      <c r="J4" s="22">
        <v>3</v>
      </c>
      <c r="K4" s="22">
        <f t="shared" si="0"/>
        <v>39</v>
      </c>
      <c r="L4" s="22">
        <f t="shared" si="1"/>
        <v>23</v>
      </c>
    </row>
    <row r="5" spans="1:12" ht="13.5">
      <c r="A5" s="35">
        <v>4</v>
      </c>
      <c r="B5" s="35">
        <v>401</v>
      </c>
      <c r="C5" s="35">
        <v>841</v>
      </c>
      <c r="D5" s="35">
        <v>4.01</v>
      </c>
      <c r="E5" s="35">
        <v>8.41</v>
      </c>
      <c r="F5" s="35"/>
      <c r="G5" s="22">
        <v>4</v>
      </c>
      <c r="H5" s="22">
        <v>31</v>
      </c>
      <c r="J5" s="22">
        <v>4</v>
      </c>
      <c r="K5" s="22">
        <f t="shared" si="0"/>
        <v>31</v>
      </c>
      <c r="L5" s="22">
        <f t="shared" si="1"/>
        <v>26</v>
      </c>
    </row>
    <row r="6" spans="1:12" ht="13.5">
      <c r="A6" s="35">
        <v>5</v>
      </c>
      <c r="B6" s="35">
        <v>3082</v>
      </c>
      <c r="C6" s="35">
        <v>1644</v>
      </c>
      <c r="D6" s="35">
        <v>30.82</v>
      </c>
      <c r="E6" s="35">
        <v>16.44</v>
      </c>
      <c r="F6" s="35"/>
      <c r="G6" s="22">
        <v>5</v>
      </c>
      <c r="H6" s="22">
        <v>44</v>
      </c>
      <c r="J6" s="22">
        <v>5</v>
      </c>
      <c r="K6" s="22">
        <f t="shared" si="0"/>
        <v>25</v>
      </c>
      <c r="L6" s="22">
        <f t="shared" si="1"/>
        <v>42</v>
      </c>
    </row>
    <row r="7" spans="1:12" ht="13.5">
      <c r="A7" s="35">
        <v>6</v>
      </c>
      <c r="B7" s="35">
        <v>7608</v>
      </c>
      <c r="C7" s="35">
        <v>4458</v>
      </c>
      <c r="D7" s="35">
        <v>76.08</v>
      </c>
      <c r="E7" s="35">
        <v>44.58</v>
      </c>
      <c r="F7" s="35"/>
      <c r="G7" s="22">
        <v>6</v>
      </c>
      <c r="H7" s="22">
        <v>18</v>
      </c>
      <c r="J7" s="22">
        <v>6</v>
      </c>
      <c r="K7" s="22">
        <f t="shared" si="0"/>
        <v>9</v>
      </c>
      <c r="L7" s="22">
        <f t="shared" si="1"/>
        <v>37</v>
      </c>
    </row>
    <row r="8" spans="1:12" ht="13.5">
      <c r="A8" s="35">
        <v>7</v>
      </c>
      <c r="B8" s="35">
        <v>7573</v>
      </c>
      <c r="C8" s="35">
        <v>3716</v>
      </c>
      <c r="D8" s="35">
        <v>75.73</v>
      </c>
      <c r="E8" s="35">
        <v>37.16</v>
      </c>
      <c r="F8" s="35"/>
      <c r="G8" s="22">
        <v>7</v>
      </c>
      <c r="H8" s="22">
        <v>7</v>
      </c>
      <c r="J8" s="22">
        <v>7</v>
      </c>
      <c r="K8" s="22">
        <f t="shared" si="0"/>
        <v>7</v>
      </c>
      <c r="L8" s="22">
        <f t="shared" si="1"/>
        <v>28</v>
      </c>
    </row>
    <row r="9" spans="1:12" ht="13.5">
      <c r="A9" s="35">
        <v>8</v>
      </c>
      <c r="B9" s="35">
        <v>7265</v>
      </c>
      <c r="C9" s="35">
        <v>1268</v>
      </c>
      <c r="D9" s="35">
        <v>72.65</v>
      </c>
      <c r="E9" s="35">
        <v>12.68</v>
      </c>
      <c r="F9" s="35"/>
      <c r="G9" s="22">
        <v>8</v>
      </c>
      <c r="H9" s="22">
        <v>28</v>
      </c>
      <c r="J9" s="22">
        <v>8</v>
      </c>
      <c r="K9" s="22">
        <f t="shared" si="0"/>
        <v>2</v>
      </c>
      <c r="L9" s="22">
        <f t="shared" si="1"/>
        <v>38</v>
      </c>
    </row>
    <row r="10" spans="1:13" ht="13.5">
      <c r="A10" s="35">
        <v>9</v>
      </c>
      <c r="B10" s="35">
        <v>6898</v>
      </c>
      <c r="C10" s="35">
        <v>1885</v>
      </c>
      <c r="D10" s="35">
        <v>68.98</v>
      </c>
      <c r="E10" s="35">
        <v>18.85</v>
      </c>
      <c r="F10" s="35"/>
      <c r="G10" s="22">
        <v>9</v>
      </c>
      <c r="H10" s="22">
        <v>6</v>
      </c>
      <c r="J10" s="22">
        <v>9</v>
      </c>
      <c r="K10" s="22">
        <f t="shared" si="0"/>
        <v>48</v>
      </c>
      <c r="L10" s="22">
        <v>49</v>
      </c>
      <c r="M10" s="22" t="s">
        <v>101</v>
      </c>
    </row>
    <row r="11" spans="1:12" ht="13.5">
      <c r="A11" s="35">
        <v>10</v>
      </c>
      <c r="B11" s="35">
        <v>1112</v>
      </c>
      <c r="C11" s="35">
        <v>2049</v>
      </c>
      <c r="D11" s="35">
        <v>11.12</v>
      </c>
      <c r="E11" s="35">
        <v>20.49</v>
      </c>
      <c r="F11" s="35"/>
      <c r="G11" s="22">
        <v>10</v>
      </c>
      <c r="H11" s="22">
        <v>37</v>
      </c>
      <c r="J11" s="22">
        <v>10</v>
      </c>
      <c r="K11" s="22">
        <f t="shared" si="0"/>
        <v>28</v>
      </c>
      <c r="L11" s="22">
        <f t="shared" si="1"/>
        <v>45</v>
      </c>
    </row>
    <row r="12" spans="1:12" ht="13.5">
      <c r="A12" s="35">
        <v>11</v>
      </c>
      <c r="B12" s="35">
        <v>5468</v>
      </c>
      <c r="C12" s="35">
        <v>2606</v>
      </c>
      <c r="D12" s="35">
        <v>54.68</v>
      </c>
      <c r="E12" s="35">
        <v>26.06</v>
      </c>
      <c r="F12" s="35"/>
      <c r="G12" s="22">
        <v>11</v>
      </c>
      <c r="H12" s="22">
        <v>19</v>
      </c>
      <c r="J12" s="22">
        <v>11</v>
      </c>
      <c r="K12" s="22">
        <f t="shared" si="0"/>
        <v>44</v>
      </c>
      <c r="L12" s="22">
        <f t="shared" si="1"/>
        <v>12</v>
      </c>
    </row>
    <row r="13" spans="1:12" ht="13.5">
      <c r="A13" s="35">
        <v>12</v>
      </c>
      <c r="B13" s="35">
        <v>5989</v>
      </c>
      <c r="C13" s="35">
        <v>2873</v>
      </c>
      <c r="D13" s="35">
        <v>59.89</v>
      </c>
      <c r="E13" s="35">
        <v>28.73</v>
      </c>
      <c r="F13" s="35"/>
      <c r="G13" s="22">
        <v>12</v>
      </c>
      <c r="H13" s="22">
        <v>27</v>
      </c>
      <c r="J13" s="22">
        <v>12</v>
      </c>
      <c r="K13" s="22">
        <f t="shared" si="0"/>
        <v>45</v>
      </c>
      <c r="L13" s="22">
        <f t="shared" si="1"/>
        <v>15</v>
      </c>
    </row>
    <row r="14" spans="1:12" ht="13.5">
      <c r="A14" s="35">
        <v>13</v>
      </c>
      <c r="B14" s="35">
        <v>4706</v>
      </c>
      <c r="C14" s="35">
        <v>2674</v>
      </c>
      <c r="D14" s="35">
        <v>47.06</v>
      </c>
      <c r="E14" s="35">
        <v>26.74</v>
      </c>
      <c r="F14" s="35"/>
      <c r="G14" s="22">
        <v>13</v>
      </c>
      <c r="H14" s="22">
        <v>17</v>
      </c>
      <c r="J14" s="22">
        <v>13</v>
      </c>
      <c r="K14" s="22">
        <f t="shared" si="0"/>
        <v>43</v>
      </c>
      <c r="L14" s="22">
        <f t="shared" si="1"/>
        <v>11</v>
      </c>
    </row>
    <row r="15" spans="1:12" ht="13.5">
      <c r="A15" s="35">
        <v>14</v>
      </c>
      <c r="B15" s="35">
        <v>4612</v>
      </c>
      <c r="C15" s="35">
        <v>2035</v>
      </c>
      <c r="D15" s="35">
        <v>46.12</v>
      </c>
      <c r="E15" s="35">
        <v>20.35</v>
      </c>
      <c r="F15" s="35"/>
      <c r="G15" s="22">
        <v>14</v>
      </c>
      <c r="H15" s="22">
        <v>43</v>
      </c>
      <c r="J15" s="22">
        <v>14</v>
      </c>
      <c r="K15" s="22">
        <f t="shared" si="0"/>
        <v>41</v>
      </c>
      <c r="L15" s="22">
        <f t="shared" si="1"/>
        <v>25</v>
      </c>
    </row>
    <row r="16" spans="1:12" ht="13.5">
      <c r="A16" s="35">
        <v>15</v>
      </c>
      <c r="B16" s="35">
        <v>6347</v>
      </c>
      <c r="C16" s="35">
        <v>2683</v>
      </c>
      <c r="D16" s="35">
        <v>63.47</v>
      </c>
      <c r="E16" s="35">
        <v>26.83</v>
      </c>
      <c r="F16" s="35"/>
      <c r="G16" s="22">
        <v>15</v>
      </c>
      <c r="H16" s="22">
        <v>30</v>
      </c>
      <c r="J16" s="22">
        <v>15</v>
      </c>
      <c r="K16" s="22">
        <f t="shared" si="0"/>
        <v>46</v>
      </c>
      <c r="L16" s="22">
        <f t="shared" si="1"/>
        <v>40</v>
      </c>
    </row>
    <row r="17" spans="1:12" ht="13.5">
      <c r="A17" s="35">
        <v>16</v>
      </c>
      <c r="B17" s="35">
        <v>6107</v>
      </c>
      <c r="C17" s="35">
        <v>669</v>
      </c>
      <c r="D17" s="35">
        <v>61.07</v>
      </c>
      <c r="E17" s="35">
        <v>6.69</v>
      </c>
      <c r="F17" s="35"/>
      <c r="G17" s="22">
        <v>16</v>
      </c>
      <c r="H17" s="22">
        <v>36</v>
      </c>
      <c r="J17" s="22">
        <v>16</v>
      </c>
      <c r="K17" s="22">
        <f t="shared" si="0"/>
        <v>37</v>
      </c>
      <c r="L17" s="22">
        <f t="shared" si="1"/>
        <v>22</v>
      </c>
    </row>
    <row r="18" spans="1:12" ht="13.5">
      <c r="A18" s="35">
        <v>17</v>
      </c>
      <c r="B18" s="35">
        <v>7611</v>
      </c>
      <c r="C18" s="35">
        <v>5184</v>
      </c>
      <c r="D18" s="35">
        <v>76.11</v>
      </c>
      <c r="E18" s="35">
        <v>51.84</v>
      </c>
      <c r="F18" s="35"/>
      <c r="G18" s="22">
        <v>17</v>
      </c>
      <c r="H18" s="22">
        <v>46</v>
      </c>
      <c r="J18" s="22">
        <v>17</v>
      </c>
      <c r="K18" s="22">
        <f t="shared" si="0"/>
        <v>13</v>
      </c>
      <c r="L18" s="22">
        <f t="shared" si="1"/>
        <v>43</v>
      </c>
    </row>
    <row r="19" spans="1:12" ht="13.5">
      <c r="A19" s="35">
        <v>18</v>
      </c>
      <c r="B19" s="35">
        <v>7462</v>
      </c>
      <c r="C19" s="35">
        <v>3590</v>
      </c>
      <c r="D19" s="35">
        <v>74.62</v>
      </c>
      <c r="E19" s="35">
        <v>35.9</v>
      </c>
      <c r="F19" s="35"/>
      <c r="G19" s="22">
        <v>18</v>
      </c>
      <c r="H19" s="22">
        <v>33</v>
      </c>
      <c r="J19" s="22">
        <v>18</v>
      </c>
      <c r="K19" s="22">
        <f t="shared" si="0"/>
        <v>6</v>
      </c>
      <c r="L19" s="22">
        <f t="shared" si="1"/>
        <v>7</v>
      </c>
    </row>
    <row r="20" spans="1:12" ht="13.5">
      <c r="A20" s="35">
        <v>19</v>
      </c>
      <c r="B20" s="35">
        <v>7732</v>
      </c>
      <c r="C20" s="35">
        <v>4723</v>
      </c>
      <c r="D20" s="35">
        <v>77.32</v>
      </c>
      <c r="E20" s="35">
        <v>47.23</v>
      </c>
      <c r="F20" s="35"/>
      <c r="G20" s="22">
        <v>19</v>
      </c>
      <c r="H20" s="22">
        <v>20</v>
      </c>
      <c r="J20" s="22">
        <v>19</v>
      </c>
      <c r="K20" s="22">
        <f t="shared" si="0"/>
        <v>11</v>
      </c>
      <c r="L20" s="22">
        <f t="shared" si="1"/>
        <v>27</v>
      </c>
    </row>
    <row r="21" spans="1:12" ht="13.5">
      <c r="A21" s="35">
        <v>20</v>
      </c>
      <c r="B21" s="35">
        <v>5900</v>
      </c>
      <c r="C21" s="35">
        <v>3561</v>
      </c>
      <c r="D21" s="35">
        <v>59</v>
      </c>
      <c r="E21" s="35">
        <v>35.61</v>
      </c>
      <c r="F21" s="35"/>
      <c r="G21" s="22">
        <v>20</v>
      </c>
      <c r="H21" s="22">
        <v>47</v>
      </c>
      <c r="J21" s="22">
        <v>20</v>
      </c>
      <c r="K21" s="22">
        <f t="shared" si="0"/>
        <v>19</v>
      </c>
      <c r="L21" s="22">
        <f t="shared" si="1"/>
        <v>47</v>
      </c>
    </row>
    <row r="22" spans="1:12" ht="13.5">
      <c r="A22" s="35">
        <v>21</v>
      </c>
      <c r="B22" s="35">
        <v>4483</v>
      </c>
      <c r="C22" s="35">
        <v>3369</v>
      </c>
      <c r="D22" s="35">
        <v>44.83</v>
      </c>
      <c r="E22" s="35">
        <v>33.69</v>
      </c>
      <c r="F22" s="35"/>
      <c r="G22" s="22">
        <v>21</v>
      </c>
      <c r="H22" s="22">
        <v>21</v>
      </c>
      <c r="J22" s="22">
        <v>21</v>
      </c>
      <c r="K22" s="22">
        <f t="shared" si="0"/>
        <v>21</v>
      </c>
      <c r="L22" s="22">
        <f t="shared" si="1"/>
        <v>32</v>
      </c>
    </row>
    <row r="23" spans="1:12" ht="13.5">
      <c r="A23" s="35">
        <v>22</v>
      </c>
      <c r="B23" s="35">
        <v>6101</v>
      </c>
      <c r="C23" s="35">
        <v>1110</v>
      </c>
      <c r="D23" s="35">
        <v>61.01</v>
      </c>
      <c r="E23" s="35">
        <v>11.1</v>
      </c>
      <c r="F23" s="35"/>
      <c r="G23" s="22">
        <v>22</v>
      </c>
      <c r="H23" s="22">
        <v>32</v>
      </c>
      <c r="J23" s="22">
        <v>22</v>
      </c>
      <c r="K23" s="22">
        <f t="shared" si="0"/>
        <v>38</v>
      </c>
      <c r="L23" s="22">
        <f t="shared" si="1"/>
        <v>3</v>
      </c>
    </row>
    <row r="24" spans="1:12" ht="13.5">
      <c r="A24" s="35">
        <v>23</v>
      </c>
      <c r="B24" s="35">
        <v>5199</v>
      </c>
      <c r="C24" s="35">
        <v>2182</v>
      </c>
      <c r="D24" s="35">
        <v>51.99</v>
      </c>
      <c r="E24" s="35">
        <v>21.82</v>
      </c>
      <c r="F24" s="35"/>
      <c r="G24" s="22">
        <v>23</v>
      </c>
      <c r="H24" s="22">
        <v>39</v>
      </c>
      <c r="J24" s="22">
        <v>23</v>
      </c>
      <c r="K24" s="22">
        <f t="shared" si="0"/>
        <v>40</v>
      </c>
      <c r="L24" s="22">
        <f t="shared" si="1"/>
        <v>14</v>
      </c>
    </row>
    <row r="25" spans="1:12" ht="13.5">
      <c r="A25" s="35">
        <v>24</v>
      </c>
      <c r="B25" s="35">
        <v>1633</v>
      </c>
      <c r="C25" s="35">
        <v>2809</v>
      </c>
      <c r="D25" s="35">
        <v>16.33</v>
      </c>
      <c r="E25" s="35">
        <v>28.09</v>
      </c>
      <c r="F25" s="35"/>
      <c r="G25" s="22">
        <v>24</v>
      </c>
      <c r="H25" s="22">
        <v>48</v>
      </c>
      <c r="J25" s="22">
        <v>24</v>
      </c>
      <c r="K25" s="22">
        <f t="shared" si="0"/>
        <v>27</v>
      </c>
      <c r="L25" s="22">
        <f t="shared" si="1"/>
        <v>10</v>
      </c>
    </row>
    <row r="26" spans="1:12" ht="13.5">
      <c r="A26" s="35">
        <v>25</v>
      </c>
      <c r="B26" s="35">
        <v>4307</v>
      </c>
      <c r="C26" s="35">
        <v>2322</v>
      </c>
      <c r="D26" s="35">
        <v>43.07</v>
      </c>
      <c r="E26" s="35">
        <v>23.22</v>
      </c>
      <c r="F26" s="35"/>
      <c r="G26" s="22">
        <v>25</v>
      </c>
      <c r="H26" s="22">
        <v>5</v>
      </c>
      <c r="J26" s="22">
        <v>25</v>
      </c>
      <c r="K26" s="22">
        <f t="shared" si="0"/>
        <v>42</v>
      </c>
      <c r="L26" s="22">
        <f t="shared" si="1"/>
        <v>13</v>
      </c>
    </row>
    <row r="27" spans="1:12" ht="13.5">
      <c r="A27" s="35">
        <v>26</v>
      </c>
      <c r="B27" s="35">
        <v>675</v>
      </c>
      <c r="C27" s="35">
        <v>1006</v>
      </c>
      <c r="D27" s="35">
        <v>6.75</v>
      </c>
      <c r="E27" s="35">
        <v>10.06</v>
      </c>
      <c r="F27" s="35"/>
      <c r="G27" s="22">
        <v>26</v>
      </c>
      <c r="H27" s="22">
        <v>42</v>
      </c>
      <c r="J27" s="22">
        <v>26</v>
      </c>
      <c r="K27" s="22">
        <f t="shared" si="0"/>
        <v>32</v>
      </c>
      <c r="L27" s="22">
        <f t="shared" si="1"/>
        <v>2</v>
      </c>
    </row>
    <row r="28" spans="1:12" ht="13.5">
      <c r="A28" s="35">
        <v>27</v>
      </c>
      <c r="B28" s="35">
        <v>7555</v>
      </c>
      <c r="C28" s="35">
        <v>4819</v>
      </c>
      <c r="D28" s="35">
        <v>75.55</v>
      </c>
      <c r="E28" s="35">
        <v>48.19</v>
      </c>
      <c r="F28" s="35"/>
      <c r="G28" s="22">
        <v>27</v>
      </c>
      <c r="H28" s="22">
        <v>24</v>
      </c>
      <c r="J28" s="22">
        <v>27</v>
      </c>
      <c r="K28" s="22">
        <f t="shared" si="0"/>
        <v>12</v>
      </c>
      <c r="L28" s="22">
        <f t="shared" si="1"/>
        <v>17</v>
      </c>
    </row>
    <row r="29" spans="1:12" ht="13.5">
      <c r="A29" s="35">
        <v>28</v>
      </c>
      <c r="B29" s="35">
        <v>7541</v>
      </c>
      <c r="C29" s="35">
        <v>3981</v>
      </c>
      <c r="D29" s="35">
        <v>75.41</v>
      </c>
      <c r="E29" s="35">
        <v>39.81</v>
      </c>
      <c r="F29" s="35"/>
      <c r="G29" s="22">
        <v>28</v>
      </c>
      <c r="H29" s="22">
        <v>10</v>
      </c>
      <c r="J29" s="22">
        <v>28</v>
      </c>
      <c r="K29" s="22">
        <f t="shared" si="0"/>
        <v>8</v>
      </c>
      <c r="L29" s="22">
        <f t="shared" si="1"/>
        <v>6</v>
      </c>
    </row>
    <row r="30" spans="1:12" ht="13.5">
      <c r="A30" s="35">
        <v>29</v>
      </c>
      <c r="B30" s="35">
        <v>3177</v>
      </c>
      <c r="C30" s="35">
        <v>756</v>
      </c>
      <c r="D30" s="35">
        <v>31.77</v>
      </c>
      <c r="E30" s="35">
        <v>7.56</v>
      </c>
      <c r="F30" s="35"/>
      <c r="G30" s="22">
        <v>29</v>
      </c>
      <c r="H30" s="22">
        <v>45</v>
      </c>
      <c r="J30" s="22">
        <v>29</v>
      </c>
      <c r="K30" s="22">
        <f t="shared" si="0"/>
        <v>34</v>
      </c>
      <c r="L30" s="22">
        <f t="shared" si="1"/>
        <v>34</v>
      </c>
    </row>
    <row r="31" spans="1:12" ht="13.5">
      <c r="A31" s="35">
        <v>30</v>
      </c>
      <c r="B31" s="35">
        <v>7352</v>
      </c>
      <c r="C31" s="35">
        <v>4506</v>
      </c>
      <c r="D31" s="35">
        <v>73.52</v>
      </c>
      <c r="E31" s="35">
        <v>45.06</v>
      </c>
      <c r="F31" s="35"/>
      <c r="G31" s="22">
        <v>30</v>
      </c>
      <c r="H31" s="22">
        <v>35</v>
      </c>
      <c r="J31" s="22">
        <v>30</v>
      </c>
      <c r="K31" s="22">
        <f t="shared" si="0"/>
        <v>15</v>
      </c>
      <c r="L31" s="22">
        <f t="shared" si="1"/>
        <v>36</v>
      </c>
    </row>
    <row r="32" spans="1:12" ht="13.5">
      <c r="A32" s="35">
        <v>31</v>
      </c>
      <c r="B32" s="35">
        <v>7545</v>
      </c>
      <c r="C32" s="35">
        <v>2801</v>
      </c>
      <c r="D32" s="35">
        <v>75.45</v>
      </c>
      <c r="E32" s="35">
        <v>28.01</v>
      </c>
      <c r="F32" s="35"/>
      <c r="G32" s="22">
        <v>31</v>
      </c>
      <c r="H32" s="22">
        <v>4</v>
      </c>
      <c r="J32" s="22">
        <v>31</v>
      </c>
      <c r="K32" s="22">
        <f t="shared" si="0"/>
        <v>4</v>
      </c>
      <c r="L32" s="22">
        <f t="shared" si="1"/>
        <v>44</v>
      </c>
    </row>
    <row r="33" spans="1:12" ht="13.5">
      <c r="A33" s="35">
        <v>32</v>
      </c>
      <c r="B33" s="35">
        <v>3245</v>
      </c>
      <c r="C33" s="35">
        <v>3305</v>
      </c>
      <c r="D33" s="35">
        <v>32.45</v>
      </c>
      <c r="E33" s="35">
        <v>33.05</v>
      </c>
      <c r="F33" s="35"/>
      <c r="G33" s="22">
        <v>32</v>
      </c>
      <c r="H33" s="22">
        <v>26</v>
      </c>
      <c r="J33" s="22">
        <v>32</v>
      </c>
      <c r="K33" s="22">
        <f t="shared" si="0"/>
        <v>22</v>
      </c>
      <c r="L33" s="22">
        <f t="shared" si="1"/>
        <v>39</v>
      </c>
    </row>
    <row r="34" spans="1:12" ht="13.5">
      <c r="A34" s="35">
        <v>33</v>
      </c>
      <c r="B34" s="35">
        <v>6426</v>
      </c>
      <c r="C34" s="35">
        <v>3173</v>
      </c>
      <c r="D34" s="35">
        <v>64.26</v>
      </c>
      <c r="E34" s="35">
        <v>31.73</v>
      </c>
      <c r="F34" s="35"/>
      <c r="G34" s="22">
        <v>33</v>
      </c>
      <c r="H34" s="22">
        <v>2</v>
      </c>
      <c r="J34" s="22">
        <v>33</v>
      </c>
      <c r="K34" s="22">
        <f t="shared" si="0"/>
        <v>18</v>
      </c>
      <c r="L34" s="22">
        <f t="shared" si="1"/>
        <v>20</v>
      </c>
    </row>
    <row r="35" spans="1:12" ht="13.5">
      <c r="A35" s="35">
        <v>34</v>
      </c>
      <c r="B35" s="35">
        <v>4608</v>
      </c>
      <c r="C35" s="35">
        <v>1198</v>
      </c>
      <c r="D35" s="35">
        <v>46.08</v>
      </c>
      <c r="E35" s="35">
        <v>11.98</v>
      </c>
      <c r="F35" s="35"/>
      <c r="G35" s="22">
        <v>34</v>
      </c>
      <c r="H35" s="22">
        <v>29</v>
      </c>
      <c r="J35" s="22">
        <v>34</v>
      </c>
      <c r="K35" s="22">
        <f t="shared" si="0"/>
        <v>35</v>
      </c>
      <c r="L35" s="22">
        <f t="shared" si="1"/>
        <v>41</v>
      </c>
    </row>
    <row r="36" spans="1:12" ht="13.5">
      <c r="A36" s="35">
        <v>35</v>
      </c>
      <c r="B36" s="35">
        <v>23</v>
      </c>
      <c r="C36" s="35">
        <v>2216</v>
      </c>
      <c r="D36" s="35">
        <v>0.23</v>
      </c>
      <c r="E36" s="35">
        <v>22.16</v>
      </c>
      <c r="F36" s="35"/>
      <c r="G36" s="22">
        <v>35</v>
      </c>
      <c r="H36" s="22">
        <v>34</v>
      </c>
      <c r="J36" s="22">
        <v>35</v>
      </c>
      <c r="K36" s="22">
        <f t="shared" si="0"/>
        <v>30</v>
      </c>
      <c r="L36" s="22">
        <f t="shared" si="1"/>
        <v>4</v>
      </c>
    </row>
    <row r="37" spans="1:12" ht="13.5">
      <c r="A37" s="35">
        <v>36</v>
      </c>
      <c r="B37" s="35">
        <v>7248</v>
      </c>
      <c r="C37" s="35">
        <v>3779</v>
      </c>
      <c r="D37" s="35">
        <v>72.48</v>
      </c>
      <c r="E37" s="35">
        <v>37.79</v>
      </c>
      <c r="F37" s="35"/>
      <c r="G37" s="22">
        <v>36</v>
      </c>
      <c r="H37" s="22">
        <v>41</v>
      </c>
      <c r="J37" s="22">
        <v>36</v>
      </c>
      <c r="K37" s="22">
        <f t="shared" si="0"/>
        <v>16</v>
      </c>
      <c r="L37" s="22">
        <f t="shared" si="1"/>
        <v>46</v>
      </c>
    </row>
    <row r="38" spans="1:12" ht="13.5">
      <c r="A38" s="35">
        <v>37</v>
      </c>
      <c r="B38" s="35">
        <v>7762</v>
      </c>
      <c r="C38" s="35">
        <v>4595</v>
      </c>
      <c r="D38" s="35">
        <v>77.62</v>
      </c>
      <c r="E38" s="35">
        <v>45.95</v>
      </c>
      <c r="F38" s="35"/>
      <c r="G38" s="22">
        <v>37</v>
      </c>
      <c r="H38" s="22">
        <v>16</v>
      </c>
      <c r="J38" s="22">
        <v>37</v>
      </c>
      <c r="K38" s="22">
        <f t="shared" si="0"/>
        <v>10</v>
      </c>
      <c r="L38" s="22">
        <f t="shared" si="1"/>
        <v>19</v>
      </c>
    </row>
    <row r="39" spans="1:12" ht="13.5">
      <c r="A39" s="35">
        <v>38</v>
      </c>
      <c r="B39" s="35">
        <v>7392</v>
      </c>
      <c r="C39" s="35">
        <v>2244</v>
      </c>
      <c r="D39" s="35">
        <v>73.92</v>
      </c>
      <c r="E39" s="35">
        <v>22.44</v>
      </c>
      <c r="F39" s="35"/>
      <c r="G39" s="22">
        <v>38</v>
      </c>
      <c r="H39" s="22">
        <v>22</v>
      </c>
      <c r="J39" s="22">
        <v>38</v>
      </c>
      <c r="K39" s="22">
        <f t="shared" si="0"/>
        <v>3</v>
      </c>
      <c r="L39" s="22">
        <f t="shared" si="1"/>
        <v>31</v>
      </c>
    </row>
    <row r="40" spans="1:12" ht="13.5">
      <c r="A40" s="35">
        <v>39</v>
      </c>
      <c r="B40" s="35">
        <v>3484</v>
      </c>
      <c r="C40" s="35">
        <v>2829</v>
      </c>
      <c r="D40" s="35">
        <v>34.84</v>
      </c>
      <c r="E40" s="35">
        <v>28.29</v>
      </c>
      <c r="F40" s="35"/>
      <c r="G40" s="22">
        <v>39</v>
      </c>
      <c r="H40" s="22">
        <v>3</v>
      </c>
      <c r="J40" s="22">
        <v>39</v>
      </c>
      <c r="K40" s="22">
        <f t="shared" si="0"/>
        <v>23</v>
      </c>
      <c r="L40" s="22">
        <f t="shared" si="1"/>
        <v>48</v>
      </c>
    </row>
    <row r="41" spans="1:12" ht="13.5">
      <c r="A41" s="35">
        <v>40</v>
      </c>
      <c r="B41" s="35">
        <v>6271</v>
      </c>
      <c r="C41" s="35">
        <v>2135</v>
      </c>
      <c r="D41" s="35">
        <v>62.71</v>
      </c>
      <c r="E41" s="35">
        <v>21.35</v>
      </c>
      <c r="F41" s="35"/>
      <c r="G41" s="22">
        <v>40</v>
      </c>
      <c r="H41" s="22">
        <v>23</v>
      </c>
      <c r="J41" s="22">
        <v>40</v>
      </c>
      <c r="K41" s="22">
        <f t="shared" si="0"/>
        <v>47</v>
      </c>
      <c r="L41" s="22">
        <f t="shared" si="1"/>
        <v>9</v>
      </c>
    </row>
    <row r="42" spans="1:12" ht="13.5">
      <c r="A42" s="35">
        <v>41</v>
      </c>
      <c r="B42" s="35">
        <v>4985</v>
      </c>
      <c r="C42" s="35">
        <v>140</v>
      </c>
      <c r="D42" s="35">
        <v>49.85</v>
      </c>
      <c r="E42" s="35">
        <v>1.4</v>
      </c>
      <c r="F42" s="35"/>
      <c r="G42" s="22">
        <v>41</v>
      </c>
      <c r="H42" s="22">
        <v>14</v>
      </c>
      <c r="J42" s="22">
        <v>41</v>
      </c>
      <c r="K42" s="22">
        <f t="shared" si="0"/>
        <v>36</v>
      </c>
      <c r="L42" s="22">
        <f t="shared" si="1"/>
        <v>16</v>
      </c>
    </row>
    <row r="43" spans="1:12" ht="13.5">
      <c r="A43" s="35">
        <v>42</v>
      </c>
      <c r="B43" s="35">
        <v>1916</v>
      </c>
      <c r="C43" s="35">
        <v>1569</v>
      </c>
      <c r="D43" s="35">
        <v>19.16</v>
      </c>
      <c r="E43" s="35">
        <v>15.69</v>
      </c>
      <c r="F43" s="35"/>
      <c r="G43" s="22">
        <v>42</v>
      </c>
      <c r="H43" s="22">
        <v>25</v>
      </c>
      <c r="J43" s="22">
        <v>42</v>
      </c>
      <c r="K43" s="22">
        <f t="shared" si="0"/>
        <v>26</v>
      </c>
      <c r="L43" s="22">
        <f t="shared" si="1"/>
        <v>24</v>
      </c>
    </row>
    <row r="44" spans="1:12" ht="13.5">
      <c r="A44" s="35">
        <v>43</v>
      </c>
      <c r="B44" s="35">
        <v>7280</v>
      </c>
      <c r="C44" s="35">
        <v>4899</v>
      </c>
      <c r="D44" s="35">
        <v>72.8</v>
      </c>
      <c r="E44" s="35">
        <v>48.99</v>
      </c>
      <c r="F44" s="35"/>
      <c r="G44" s="22">
        <v>43</v>
      </c>
      <c r="H44" s="22">
        <v>13</v>
      </c>
      <c r="J44" s="22">
        <v>43</v>
      </c>
      <c r="K44" s="22">
        <f t="shared" si="0"/>
        <v>14</v>
      </c>
      <c r="L44" s="22">
        <f t="shared" si="1"/>
        <v>30</v>
      </c>
    </row>
    <row r="45" spans="1:12" ht="13.5">
      <c r="A45" s="35">
        <v>44</v>
      </c>
      <c r="B45" s="35">
        <v>7509</v>
      </c>
      <c r="C45" s="35">
        <v>3239</v>
      </c>
      <c r="D45" s="35">
        <v>75.09</v>
      </c>
      <c r="E45" s="35">
        <v>32.39</v>
      </c>
      <c r="F45" s="35"/>
      <c r="G45" s="22">
        <v>44</v>
      </c>
      <c r="H45" s="22">
        <v>11</v>
      </c>
      <c r="J45" s="22">
        <v>44</v>
      </c>
      <c r="K45" s="22">
        <f t="shared" si="0"/>
        <v>5</v>
      </c>
      <c r="L45" s="22">
        <f t="shared" si="1"/>
        <v>18</v>
      </c>
    </row>
    <row r="46" spans="1:12" ht="13.5">
      <c r="A46" s="35">
        <v>45</v>
      </c>
      <c r="B46" s="35">
        <v>10</v>
      </c>
      <c r="C46" s="35">
        <v>2676</v>
      </c>
      <c r="D46" s="35">
        <v>0.1</v>
      </c>
      <c r="E46" s="35">
        <v>26.76</v>
      </c>
      <c r="F46" s="35"/>
      <c r="G46" s="22">
        <v>45</v>
      </c>
      <c r="H46" s="22">
        <v>12</v>
      </c>
      <c r="J46" s="22">
        <v>45</v>
      </c>
      <c r="K46" s="22">
        <f t="shared" si="0"/>
        <v>29</v>
      </c>
      <c r="L46" s="22">
        <f t="shared" si="1"/>
        <v>35</v>
      </c>
    </row>
    <row r="47" spans="1:12" ht="13.5">
      <c r="A47" s="35">
        <v>46</v>
      </c>
      <c r="B47" s="35">
        <v>6807</v>
      </c>
      <c r="C47" s="35">
        <v>2993</v>
      </c>
      <c r="D47" s="35">
        <v>68.07</v>
      </c>
      <c r="E47" s="35">
        <v>29.93</v>
      </c>
      <c r="F47" s="35"/>
      <c r="G47" s="22">
        <v>46</v>
      </c>
      <c r="H47" s="22">
        <v>15</v>
      </c>
      <c r="J47" s="22">
        <v>46</v>
      </c>
      <c r="K47" s="22">
        <f t="shared" si="0"/>
        <v>17</v>
      </c>
      <c r="L47" s="22">
        <f t="shared" si="1"/>
        <v>33</v>
      </c>
    </row>
    <row r="48" spans="1:12" ht="13.5">
      <c r="A48" s="35">
        <v>47</v>
      </c>
      <c r="B48" s="35">
        <v>5185</v>
      </c>
      <c r="C48" s="35">
        <v>3258</v>
      </c>
      <c r="D48" s="35">
        <v>51.85</v>
      </c>
      <c r="E48" s="35">
        <v>32.58</v>
      </c>
      <c r="F48" s="35"/>
      <c r="G48" s="22">
        <v>47</v>
      </c>
      <c r="H48" s="22">
        <v>40</v>
      </c>
      <c r="J48" s="22">
        <v>47</v>
      </c>
      <c r="K48" s="22">
        <f t="shared" si="0"/>
        <v>20</v>
      </c>
      <c r="L48" s="22">
        <f t="shared" si="1"/>
        <v>21</v>
      </c>
    </row>
    <row r="49" spans="1:12" ht="13.5">
      <c r="A49" s="35">
        <v>48</v>
      </c>
      <c r="B49" s="35">
        <v>3023</v>
      </c>
      <c r="C49" s="35">
        <v>1942</v>
      </c>
      <c r="D49" s="35">
        <v>30.23</v>
      </c>
      <c r="E49" s="35">
        <v>19.42</v>
      </c>
      <c r="F49" s="35"/>
      <c r="G49" s="22">
        <v>48</v>
      </c>
      <c r="H49" s="22">
        <v>9</v>
      </c>
      <c r="J49" s="22">
        <v>48</v>
      </c>
      <c r="K49" s="22">
        <f t="shared" si="0"/>
        <v>24</v>
      </c>
      <c r="L49" s="22">
        <f t="shared" si="1"/>
        <v>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B64"/>
  <sheetViews>
    <sheetView workbookViewId="0" topLeftCell="AZ1">
      <selection activeCell="B31" sqref="B31"/>
    </sheetView>
  </sheetViews>
  <sheetFormatPr defaultColWidth="11.00390625" defaultRowHeight="12.75"/>
  <cols>
    <col min="3" max="3" width="12.75390625" style="0" bestFit="1" customWidth="1"/>
    <col min="4" max="54" width="7.75390625" style="0" customWidth="1"/>
    <col min="55" max="55" width="12.375" style="0" bestFit="1" customWidth="1"/>
    <col min="56" max="106" width="5.75390625" style="0" customWidth="1"/>
  </cols>
  <sheetData>
    <row r="1" ht="18">
      <c r="A1" s="1" t="s">
        <v>0</v>
      </c>
    </row>
    <row r="3" spans="2:57" ht="12.75">
      <c r="B3" s="13" t="s">
        <v>31</v>
      </c>
      <c r="C3" s="8" t="s">
        <v>1</v>
      </c>
      <c r="F3" s="2" t="s">
        <v>2</v>
      </c>
      <c r="G3" s="2"/>
      <c r="H3" s="2" t="s">
        <v>3</v>
      </c>
      <c r="BC3" s="8" t="s">
        <v>40</v>
      </c>
      <c r="BD3">
        <v>344.055419921875</v>
      </c>
      <c r="BE3" t="s">
        <v>49</v>
      </c>
    </row>
    <row r="4" spans="3:57" ht="12.75">
      <c r="C4" s="4" t="s">
        <v>8</v>
      </c>
      <c r="D4" s="5" t="s">
        <v>102</v>
      </c>
      <c r="E4" s="4" t="s">
        <v>4</v>
      </c>
      <c r="F4" s="3" t="s">
        <v>6</v>
      </c>
      <c r="G4" s="4" t="s">
        <v>7</v>
      </c>
      <c r="H4" s="5" t="b">
        <f>US_2_OpFeasValue=0</f>
        <v>1</v>
      </c>
      <c r="BC4" s="8" t="s">
        <v>41</v>
      </c>
      <c r="BD4">
        <v>21</v>
      </c>
      <c r="BE4" t="s">
        <v>42</v>
      </c>
    </row>
    <row r="5" spans="3:60" ht="12.75">
      <c r="C5" s="4" t="s">
        <v>10</v>
      </c>
      <c r="D5" s="5" t="s">
        <v>51</v>
      </c>
      <c r="E5" s="4" t="s">
        <v>5</v>
      </c>
      <c r="F5" s="5">
        <f>SUM(US_2_OpObjTerms)</f>
        <v>344.05543106297654</v>
      </c>
      <c r="G5" s="4" t="s">
        <v>5</v>
      </c>
      <c r="H5" s="5">
        <f>COUNTIF(US_2_OpValue,"=0")</f>
        <v>0</v>
      </c>
      <c r="BC5" s="8" t="s">
        <v>43</v>
      </c>
      <c r="BD5">
        <v>6494</v>
      </c>
      <c r="BE5" s="4" t="s">
        <v>44</v>
      </c>
      <c r="BF5">
        <v>2</v>
      </c>
      <c r="BG5" s="4" t="s">
        <v>45</v>
      </c>
      <c r="BH5">
        <v>6492</v>
      </c>
    </row>
    <row r="6" spans="2:56" ht="12.75">
      <c r="B6" s="13" t="s">
        <v>32</v>
      </c>
      <c r="C6" s="4" t="s">
        <v>11</v>
      </c>
      <c r="D6" s="5" t="s">
        <v>12</v>
      </c>
      <c r="E6" t="s">
        <v>13</v>
      </c>
      <c r="F6" s="3" t="s">
        <v>14</v>
      </c>
      <c r="BC6" s="8" t="s">
        <v>46</v>
      </c>
      <c r="BD6" s="18">
        <v>1</v>
      </c>
    </row>
    <row r="7" spans="3:56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2">
        <v>14</v>
      </c>
      <c r="R7" s="2">
        <v>15</v>
      </c>
      <c r="S7" s="2">
        <v>16</v>
      </c>
      <c r="T7" s="2">
        <v>17</v>
      </c>
      <c r="U7" s="2">
        <v>18</v>
      </c>
      <c r="V7" s="2">
        <v>19</v>
      </c>
      <c r="W7" s="2">
        <v>20</v>
      </c>
      <c r="X7" s="2">
        <v>21</v>
      </c>
      <c r="Y7" s="2">
        <v>22</v>
      </c>
      <c r="Z7" s="2">
        <v>23</v>
      </c>
      <c r="AA7" s="2">
        <v>24</v>
      </c>
      <c r="AB7" s="2">
        <v>25</v>
      </c>
      <c r="AC7" s="2">
        <v>26</v>
      </c>
      <c r="AD7" s="2">
        <v>27</v>
      </c>
      <c r="AE7" s="2">
        <v>28</v>
      </c>
      <c r="AF7" s="2">
        <v>29</v>
      </c>
      <c r="AG7" s="2">
        <v>30</v>
      </c>
      <c r="AH7" s="2">
        <v>31</v>
      </c>
      <c r="AI7" s="2">
        <v>32</v>
      </c>
      <c r="AJ7" s="2">
        <v>33</v>
      </c>
      <c r="AK7" s="2">
        <v>34</v>
      </c>
      <c r="AL7" s="2">
        <v>35</v>
      </c>
      <c r="AM7" s="2">
        <v>36</v>
      </c>
      <c r="AN7" s="2">
        <v>37</v>
      </c>
      <c r="AO7" s="2">
        <v>38</v>
      </c>
      <c r="AP7" s="2">
        <v>39</v>
      </c>
      <c r="AQ7" s="2">
        <v>40</v>
      </c>
      <c r="AR7" s="2">
        <v>41</v>
      </c>
      <c r="AS7" s="2">
        <v>42</v>
      </c>
      <c r="AT7" s="2">
        <v>43</v>
      </c>
      <c r="AU7" s="2">
        <v>44</v>
      </c>
      <c r="AV7" s="2">
        <v>45</v>
      </c>
      <c r="AW7" s="2">
        <v>46</v>
      </c>
      <c r="AX7" s="2">
        <v>47</v>
      </c>
      <c r="AY7" s="2">
        <v>48</v>
      </c>
      <c r="AZ7" s="2">
        <v>49</v>
      </c>
      <c r="BC7" s="8" t="s">
        <v>47</v>
      </c>
      <c r="BD7">
        <v>100</v>
      </c>
    </row>
    <row r="8" spans="3:52" ht="12.75">
      <c r="C8" s="4" t="s">
        <v>8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57</v>
      </c>
      <c r="Q8" s="2" t="s">
        <v>58</v>
      </c>
      <c r="R8" s="2" t="s">
        <v>59</v>
      </c>
      <c r="S8" s="2" t="s">
        <v>60</v>
      </c>
      <c r="T8" s="2" t="s">
        <v>61</v>
      </c>
      <c r="U8" s="2" t="s">
        <v>62</v>
      </c>
      <c r="V8" s="2" t="s">
        <v>63</v>
      </c>
      <c r="W8" s="2" t="s">
        <v>64</v>
      </c>
      <c r="X8" s="2" t="s">
        <v>65</v>
      </c>
      <c r="Y8" s="2" t="s">
        <v>66</v>
      </c>
      <c r="Z8" s="2" t="s">
        <v>67</v>
      </c>
      <c r="AA8" s="2" t="s">
        <v>68</v>
      </c>
      <c r="AB8" s="2" t="s">
        <v>69</v>
      </c>
      <c r="AC8" s="2" t="s">
        <v>70</v>
      </c>
      <c r="AD8" s="2" t="s">
        <v>71</v>
      </c>
      <c r="AE8" s="2" t="s">
        <v>72</v>
      </c>
      <c r="AF8" s="2" t="s">
        <v>73</v>
      </c>
      <c r="AG8" s="2" t="s">
        <v>74</v>
      </c>
      <c r="AH8" s="2" t="s">
        <v>75</v>
      </c>
      <c r="AI8" s="2" t="s">
        <v>76</v>
      </c>
      <c r="AJ8" s="2" t="s">
        <v>77</v>
      </c>
      <c r="AK8" s="2" t="s">
        <v>78</v>
      </c>
      <c r="AL8" s="2" t="s">
        <v>79</v>
      </c>
      <c r="AM8" s="2" t="s">
        <v>80</v>
      </c>
      <c r="AN8" s="2" t="s">
        <v>81</v>
      </c>
      <c r="AO8" s="2" t="s">
        <v>82</v>
      </c>
      <c r="AP8" s="2" t="s">
        <v>83</v>
      </c>
      <c r="AQ8" s="2" t="s">
        <v>84</v>
      </c>
      <c r="AR8" s="2" t="s">
        <v>85</v>
      </c>
      <c r="AS8" s="2" t="s">
        <v>86</v>
      </c>
      <c r="AT8" s="2" t="s">
        <v>87</v>
      </c>
      <c r="AU8" s="2" t="s">
        <v>88</v>
      </c>
      <c r="AV8" s="2" t="s">
        <v>89</v>
      </c>
      <c r="AW8" s="2" t="s">
        <v>90</v>
      </c>
      <c r="AX8" s="2" t="s">
        <v>91</v>
      </c>
      <c r="AY8" s="2" t="s">
        <v>92</v>
      </c>
      <c r="AZ8" s="2" t="s">
        <v>23</v>
      </c>
    </row>
    <row r="9" spans="3:56" ht="12.75">
      <c r="C9" s="4" t="s">
        <v>24</v>
      </c>
      <c r="D9" s="6">
        <v>8</v>
      </c>
      <c r="E9" s="6">
        <v>29</v>
      </c>
      <c r="F9" s="6">
        <v>34</v>
      </c>
      <c r="G9" s="6">
        <v>26</v>
      </c>
      <c r="H9" s="6">
        <v>48</v>
      </c>
      <c r="I9" s="6">
        <v>37</v>
      </c>
      <c r="J9" s="6">
        <v>28</v>
      </c>
      <c r="K9" s="6">
        <v>9</v>
      </c>
      <c r="L9" s="6">
        <v>38</v>
      </c>
      <c r="M9" s="6">
        <v>45</v>
      </c>
      <c r="N9" s="6">
        <v>12</v>
      </c>
      <c r="O9" s="6">
        <v>15</v>
      </c>
      <c r="P9" s="6">
        <v>25</v>
      </c>
      <c r="Q9" s="6">
        <v>23</v>
      </c>
      <c r="R9" s="6">
        <v>40</v>
      </c>
      <c r="S9" s="6">
        <v>22</v>
      </c>
      <c r="T9" s="6">
        <v>43</v>
      </c>
      <c r="U9" s="6">
        <v>7</v>
      </c>
      <c r="V9" s="6">
        <v>27</v>
      </c>
      <c r="W9" s="6">
        <v>47</v>
      </c>
      <c r="X9" s="6">
        <v>13</v>
      </c>
      <c r="Y9" s="6">
        <v>49</v>
      </c>
      <c r="Z9" s="6">
        <v>11</v>
      </c>
      <c r="AA9" s="6">
        <v>10</v>
      </c>
      <c r="AB9" s="6">
        <v>14</v>
      </c>
      <c r="AC9" s="6">
        <v>42</v>
      </c>
      <c r="AD9" s="6">
        <v>17</v>
      </c>
      <c r="AE9" s="6">
        <v>6</v>
      </c>
      <c r="AF9" s="6">
        <v>41</v>
      </c>
      <c r="AG9" s="6">
        <v>36</v>
      </c>
      <c r="AH9" s="6">
        <v>44</v>
      </c>
      <c r="AI9" s="6">
        <v>24</v>
      </c>
      <c r="AJ9" s="6">
        <v>20</v>
      </c>
      <c r="AK9" s="6">
        <v>5</v>
      </c>
      <c r="AL9" s="6">
        <v>4</v>
      </c>
      <c r="AM9" s="6">
        <v>46</v>
      </c>
      <c r="AN9" s="6">
        <v>19</v>
      </c>
      <c r="AO9" s="6">
        <v>31</v>
      </c>
      <c r="AP9" s="6">
        <v>32</v>
      </c>
      <c r="AQ9" s="6">
        <v>3</v>
      </c>
      <c r="AR9" s="6">
        <v>16</v>
      </c>
      <c r="AS9" s="6">
        <v>2</v>
      </c>
      <c r="AT9" s="6">
        <v>30</v>
      </c>
      <c r="AU9" s="6">
        <v>18</v>
      </c>
      <c r="AV9" s="6">
        <v>35</v>
      </c>
      <c r="AW9" s="6">
        <v>33</v>
      </c>
      <c r="AX9" s="6">
        <v>21</v>
      </c>
      <c r="AY9" s="6">
        <v>39</v>
      </c>
      <c r="AZ9" s="6">
        <v>1</v>
      </c>
      <c r="BD9" s="12" t="s">
        <v>37</v>
      </c>
    </row>
    <row r="10" spans="3:106" ht="12.75">
      <c r="C10" s="4" t="s">
        <v>25</v>
      </c>
      <c r="D10" s="7">
        <v>1</v>
      </c>
      <c r="E10" s="7">
        <f aca="true" t="shared" si="0" ref="E10:AZ10">INDEX(US_2_OpValue,1,D10)</f>
        <v>8</v>
      </c>
      <c r="F10" s="7">
        <f t="shared" si="0"/>
        <v>9</v>
      </c>
      <c r="G10" s="7">
        <f t="shared" si="0"/>
        <v>38</v>
      </c>
      <c r="H10" s="7">
        <f t="shared" si="0"/>
        <v>31</v>
      </c>
      <c r="I10" s="7">
        <f t="shared" si="0"/>
        <v>44</v>
      </c>
      <c r="J10" s="7">
        <f t="shared" si="0"/>
        <v>18</v>
      </c>
      <c r="K10" s="7">
        <f t="shared" si="0"/>
        <v>7</v>
      </c>
      <c r="L10" s="7">
        <f t="shared" si="0"/>
        <v>28</v>
      </c>
      <c r="M10" s="7">
        <f t="shared" si="0"/>
        <v>6</v>
      </c>
      <c r="N10" s="7">
        <f t="shared" si="0"/>
        <v>37</v>
      </c>
      <c r="O10" s="7">
        <f t="shared" si="0"/>
        <v>19</v>
      </c>
      <c r="P10" s="7">
        <f t="shared" si="0"/>
        <v>27</v>
      </c>
      <c r="Q10" s="7">
        <f t="shared" si="0"/>
        <v>17</v>
      </c>
      <c r="R10" s="7">
        <f t="shared" si="0"/>
        <v>43</v>
      </c>
      <c r="S10" s="7">
        <f t="shared" si="0"/>
        <v>30</v>
      </c>
      <c r="T10" s="7">
        <f t="shared" si="0"/>
        <v>36</v>
      </c>
      <c r="U10" s="7">
        <f t="shared" si="0"/>
        <v>46</v>
      </c>
      <c r="V10" s="7">
        <f t="shared" si="0"/>
        <v>33</v>
      </c>
      <c r="W10" s="7">
        <f t="shared" si="0"/>
        <v>20</v>
      </c>
      <c r="X10" s="7">
        <f t="shared" si="0"/>
        <v>47</v>
      </c>
      <c r="Y10" s="7">
        <f t="shared" si="0"/>
        <v>21</v>
      </c>
      <c r="Z10" s="7">
        <f t="shared" si="0"/>
        <v>13</v>
      </c>
      <c r="AA10" s="7">
        <f t="shared" si="0"/>
        <v>25</v>
      </c>
      <c r="AB10" s="7">
        <f t="shared" si="0"/>
        <v>14</v>
      </c>
      <c r="AC10" s="7">
        <f t="shared" si="0"/>
        <v>23</v>
      </c>
      <c r="AD10" s="7">
        <f t="shared" si="0"/>
        <v>11</v>
      </c>
      <c r="AE10" s="7">
        <f t="shared" si="0"/>
        <v>12</v>
      </c>
      <c r="AF10" s="7">
        <f t="shared" si="0"/>
        <v>15</v>
      </c>
      <c r="AG10" s="7">
        <f t="shared" si="0"/>
        <v>40</v>
      </c>
      <c r="AH10" s="7">
        <f t="shared" si="0"/>
        <v>3</v>
      </c>
      <c r="AI10" s="7">
        <f t="shared" si="0"/>
        <v>34</v>
      </c>
      <c r="AJ10" s="7">
        <f t="shared" si="0"/>
        <v>5</v>
      </c>
      <c r="AK10" s="7">
        <f t="shared" si="0"/>
        <v>48</v>
      </c>
      <c r="AL10" s="7">
        <f t="shared" si="0"/>
        <v>39</v>
      </c>
      <c r="AM10" s="7">
        <f t="shared" si="0"/>
        <v>32</v>
      </c>
      <c r="AN10" s="7">
        <f t="shared" si="0"/>
        <v>24</v>
      </c>
      <c r="AO10" s="7">
        <f t="shared" si="0"/>
        <v>10</v>
      </c>
      <c r="AP10" s="7">
        <f t="shared" si="0"/>
        <v>45</v>
      </c>
      <c r="AQ10" s="7">
        <f t="shared" si="0"/>
        <v>35</v>
      </c>
      <c r="AR10" s="7">
        <f t="shared" si="0"/>
        <v>4</v>
      </c>
      <c r="AS10" s="7">
        <f t="shared" si="0"/>
        <v>26</v>
      </c>
      <c r="AT10" s="7">
        <f t="shared" si="0"/>
        <v>42</v>
      </c>
      <c r="AU10" s="7">
        <f t="shared" si="0"/>
        <v>2</v>
      </c>
      <c r="AV10" s="7">
        <f t="shared" si="0"/>
        <v>29</v>
      </c>
      <c r="AW10" s="7">
        <f t="shared" si="0"/>
        <v>41</v>
      </c>
      <c r="AX10" s="7">
        <f t="shared" si="0"/>
        <v>16</v>
      </c>
      <c r="AY10" s="7">
        <f t="shared" si="0"/>
        <v>22</v>
      </c>
      <c r="AZ10" s="7">
        <f t="shared" si="0"/>
        <v>49</v>
      </c>
      <c r="BD10" s="2" t="s">
        <v>38</v>
      </c>
      <c r="BE10" s="2" t="s">
        <v>16</v>
      </c>
      <c r="BF10" s="2" t="s">
        <v>17</v>
      </c>
      <c r="BG10" s="2" t="s">
        <v>18</v>
      </c>
      <c r="BH10" s="2" t="s">
        <v>19</v>
      </c>
      <c r="BI10" s="2" t="s">
        <v>20</v>
      </c>
      <c r="BJ10" s="2" t="s">
        <v>21</v>
      </c>
      <c r="BK10" s="2" t="s">
        <v>22</v>
      </c>
      <c r="BL10" s="2" t="s">
        <v>52</v>
      </c>
      <c r="BM10" s="2" t="s">
        <v>53</v>
      </c>
      <c r="BN10" s="2" t="s">
        <v>54</v>
      </c>
      <c r="BO10" s="2" t="s">
        <v>55</v>
      </c>
      <c r="BP10" s="2" t="s">
        <v>56</v>
      </c>
      <c r="BQ10" s="2" t="s">
        <v>57</v>
      </c>
      <c r="BR10" s="2" t="s">
        <v>58</v>
      </c>
      <c r="BS10" s="2" t="s">
        <v>59</v>
      </c>
      <c r="BT10" s="2" t="s">
        <v>60</v>
      </c>
      <c r="BU10" s="2" t="s">
        <v>61</v>
      </c>
      <c r="BV10" s="2" t="s">
        <v>62</v>
      </c>
      <c r="BW10" s="2" t="s">
        <v>63</v>
      </c>
      <c r="BX10" s="2" t="s">
        <v>64</v>
      </c>
      <c r="BY10" s="2" t="s">
        <v>65</v>
      </c>
      <c r="BZ10" s="2" t="s">
        <v>66</v>
      </c>
      <c r="CA10" s="2" t="s">
        <v>67</v>
      </c>
      <c r="CB10" s="2" t="s">
        <v>68</v>
      </c>
      <c r="CC10" s="2" t="s">
        <v>69</v>
      </c>
      <c r="CD10" s="2" t="s">
        <v>70</v>
      </c>
      <c r="CE10" s="2" t="s">
        <v>71</v>
      </c>
      <c r="CF10" s="2" t="s">
        <v>72</v>
      </c>
      <c r="CG10" s="2" t="s">
        <v>73</v>
      </c>
      <c r="CH10" s="2" t="s">
        <v>74</v>
      </c>
      <c r="CI10" s="2" t="s">
        <v>75</v>
      </c>
      <c r="CJ10" s="2" t="s">
        <v>76</v>
      </c>
      <c r="CK10" s="2" t="s">
        <v>77</v>
      </c>
      <c r="CL10" s="2" t="s">
        <v>78</v>
      </c>
      <c r="CM10" s="2" t="s">
        <v>79</v>
      </c>
      <c r="CN10" s="2" t="s">
        <v>80</v>
      </c>
      <c r="CO10" s="2" t="s">
        <v>81</v>
      </c>
      <c r="CP10" s="2" t="s">
        <v>82</v>
      </c>
      <c r="CQ10" s="2" t="s">
        <v>83</v>
      </c>
      <c r="CR10" s="2" t="s">
        <v>84</v>
      </c>
      <c r="CS10" s="2" t="s">
        <v>85</v>
      </c>
      <c r="CT10" s="2" t="s">
        <v>86</v>
      </c>
      <c r="CU10" s="2" t="s">
        <v>87</v>
      </c>
      <c r="CV10" s="2" t="s">
        <v>88</v>
      </c>
      <c r="CW10" s="2" t="s">
        <v>89</v>
      </c>
      <c r="CX10" s="2" t="s">
        <v>90</v>
      </c>
      <c r="CY10" s="2" t="s">
        <v>91</v>
      </c>
      <c r="CZ10" s="2" t="s">
        <v>92</v>
      </c>
      <c r="DA10" s="2" t="s">
        <v>23</v>
      </c>
      <c r="DB10" s="2" t="s">
        <v>39</v>
      </c>
    </row>
    <row r="11" spans="56:106" ht="12.75">
      <c r="BD11" s="19">
        <v>5411</v>
      </c>
      <c r="BE11" s="19">
        <v>8</v>
      </c>
      <c r="BF11" s="19">
        <v>29</v>
      </c>
      <c r="BG11" s="19">
        <v>34</v>
      </c>
      <c r="BH11" s="19">
        <v>26</v>
      </c>
      <c r="BI11" s="19">
        <v>48</v>
      </c>
      <c r="BJ11" s="19">
        <v>37</v>
      </c>
      <c r="BK11" s="19">
        <v>28</v>
      </c>
      <c r="BL11" s="19">
        <v>9</v>
      </c>
      <c r="BM11" s="19">
        <v>38</v>
      </c>
      <c r="BN11" s="19">
        <v>45</v>
      </c>
      <c r="BO11" s="19">
        <v>12</v>
      </c>
      <c r="BP11" s="19">
        <v>15</v>
      </c>
      <c r="BQ11" s="19">
        <v>25</v>
      </c>
      <c r="BR11" s="19">
        <v>23</v>
      </c>
      <c r="BS11" s="19">
        <v>40</v>
      </c>
      <c r="BT11" s="19">
        <v>22</v>
      </c>
      <c r="BU11" s="19">
        <v>43</v>
      </c>
      <c r="BV11" s="19">
        <v>7</v>
      </c>
      <c r="BW11" s="19">
        <v>27</v>
      </c>
      <c r="BX11" s="19">
        <v>47</v>
      </c>
      <c r="BY11" s="19">
        <v>13</v>
      </c>
      <c r="BZ11" s="19">
        <v>49</v>
      </c>
      <c r="CA11" s="19">
        <v>11</v>
      </c>
      <c r="CB11" s="19">
        <v>10</v>
      </c>
      <c r="CC11" s="19">
        <v>14</v>
      </c>
      <c r="CD11" s="19">
        <v>42</v>
      </c>
      <c r="CE11" s="19">
        <v>17</v>
      </c>
      <c r="CF11" s="19">
        <v>6</v>
      </c>
      <c r="CG11" s="19">
        <v>41</v>
      </c>
      <c r="CH11" s="19">
        <v>36</v>
      </c>
      <c r="CI11" s="19">
        <v>44</v>
      </c>
      <c r="CJ11" s="19">
        <v>24</v>
      </c>
      <c r="CK11" s="19">
        <v>20</v>
      </c>
      <c r="CL11" s="19">
        <v>5</v>
      </c>
      <c r="CM11" s="19">
        <v>4</v>
      </c>
      <c r="CN11" s="19">
        <v>46</v>
      </c>
      <c r="CO11" s="19">
        <v>19</v>
      </c>
      <c r="CP11" s="19">
        <v>31</v>
      </c>
      <c r="CQ11" s="19">
        <v>32</v>
      </c>
      <c r="CR11" s="19">
        <v>3</v>
      </c>
      <c r="CS11" s="19">
        <v>16</v>
      </c>
      <c r="CT11" s="19">
        <v>2</v>
      </c>
      <c r="CU11" s="19">
        <v>30</v>
      </c>
      <c r="CV11" s="19">
        <v>18</v>
      </c>
      <c r="CW11" s="19">
        <v>35</v>
      </c>
      <c r="CX11" s="19">
        <v>33</v>
      </c>
      <c r="CY11" s="19">
        <v>21</v>
      </c>
      <c r="CZ11" s="19">
        <v>39</v>
      </c>
      <c r="DA11" s="19">
        <v>1</v>
      </c>
      <c r="DB11" s="19">
        <v>344.0554310083389</v>
      </c>
    </row>
    <row r="12" spans="3:106" ht="12.75">
      <c r="C12" s="4" t="s">
        <v>26</v>
      </c>
      <c r="D12" s="7">
        <f aca="true" t="shared" si="1" ref="D12:AI12">INDEX(US_2_OpObjMatrix,US_2_OpValue+1,)</f>
        <v>5.623041881401918</v>
      </c>
      <c r="E12" s="7">
        <f t="shared" si="1"/>
        <v>12.03184108937614</v>
      </c>
      <c r="F12" s="7">
        <f t="shared" si="1"/>
        <v>9.492944748601458</v>
      </c>
      <c r="G12" s="7">
        <f t="shared" si="1"/>
        <v>3.19845275094068</v>
      </c>
      <c r="H12" s="7">
        <f t="shared" si="1"/>
        <v>3.0378446306550972</v>
      </c>
      <c r="I12" s="7">
        <f t="shared" si="1"/>
        <v>2.061188977265314</v>
      </c>
      <c r="J12" s="7">
        <f t="shared" si="1"/>
        <v>2.669250831225877</v>
      </c>
      <c r="K12" s="7">
        <f t="shared" si="1"/>
        <v>7.178983214912821</v>
      </c>
      <c r="L12" s="7">
        <f t="shared" si="1"/>
        <v>6.106693049433546</v>
      </c>
      <c r="M12" s="7">
        <f t="shared" si="1"/>
        <v>12.678852471734183</v>
      </c>
      <c r="N12" s="7">
        <f t="shared" si="1"/>
        <v>5.854314648188977</v>
      </c>
      <c r="O12" s="7">
        <f t="shared" si="1"/>
        <v>4.052949543233915</v>
      </c>
      <c r="P12" s="7">
        <f t="shared" si="1"/>
        <v>5.320761223734816</v>
      </c>
      <c r="Q12" s="7">
        <f t="shared" si="1"/>
        <v>6.051264330699829</v>
      </c>
      <c r="R12" s="7">
        <f t="shared" si="1"/>
        <v>5.53244972864643</v>
      </c>
      <c r="S12" s="7">
        <f t="shared" si="1"/>
        <v>4.410408144378476</v>
      </c>
      <c r="T12" s="7">
        <f t="shared" si="1"/>
        <v>4.367905676637263</v>
      </c>
      <c r="U12" s="7">
        <f t="shared" si="1"/>
        <v>1.6791962362987818</v>
      </c>
      <c r="V12" s="7">
        <f t="shared" si="1"/>
        <v>2.013578903345977</v>
      </c>
      <c r="W12" s="7">
        <f t="shared" si="1"/>
        <v>7.765526382673617</v>
      </c>
      <c r="X12" s="7">
        <f t="shared" si="1"/>
        <v>7.298999931497465</v>
      </c>
      <c r="Y12" s="7">
        <f t="shared" si="1"/>
        <v>7.199569431570201</v>
      </c>
      <c r="Z12" s="7">
        <f t="shared" si="1"/>
        <v>5.021324526457136</v>
      </c>
      <c r="AA12" s="7">
        <f t="shared" si="1"/>
        <v>9.214342081776648</v>
      </c>
      <c r="AB12" s="7">
        <f t="shared" si="1"/>
        <v>4.188006685763523</v>
      </c>
      <c r="AC12" s="7">
        <f t="shared" si="1"/>
        <v>13.62736218055424</v>
      </c>
      <c r="AD12" s="7">
        <f t="shared" si="1"/>
        <v>3.692709032675069</v>
      </c>
      <c r="AE12" s="7">
        <f t="shared" si="1"/>
        <v>4.816824680222435</v>
      </c>
      <c r="AF12" s="7">
        <f t="shared" si="1"/>
        <v>19.10057590754792</v>
      </c>
      <c r="AG12" s="7">
        <f t="shared" si="1"/>
        <v>7.3440111655688565</v>
      </c>
      <c r="AH12" s="7">
        <f t="shared" si="1"/>
        <v>4.394769618535196</v>
      </c>
      <c r="AI12" s="7">
        <f t="shared" si="1"/>
        <v>16.865823430831952</v>
      </c>
      <c r="AJ12" s="7">
        <f aca="true" t="shared" si="2" ref="AJ12:AZ12">INDEX(US_2_OpObjMatrix,US_2_OpValue+1,)</f>
        <v>6.536206851071961</v>
      </c>
      <c r="AK12" s="7">
        <f t="shared" si="2"/>
        <v>15.898402435465016</v>
      </c>
      <c r="AL12" s="7">
        <f t="shared" si="2"/>
        <v>14.26011570780546</v>
      </c>
      <c r="AM12" s="7">
        <f t="shared" si="2"/>
        <v>9.01264112233479</v>
      </c>
      <c r="AN12" s="7">
        <f t="shared" si="2"/>
        <v>1.3146862743635805</v>
      </c>
      <c r="AO12" s="7">
        <f t="shared" si="2"/>
        <v>5.7763137033925025</v>
      </c>
      <c r="AP12" s="7">
        <f t="shared" si="2"/>
        <v>5.326321432283259</v>
      </c>
      <c r="AQ12" s="7">
        <f t="shared" si="2"/>
        <v>10.269381675641434</v>
      </c>
      <c r="AR12" s="7">
        <f t="shared" si="2"/>
        <v>12.404535460870752</v>
      </c>
      <c r="AS12" s="7">
        <f t="shared" si="2"/>
        <v>15.909022597255936</v>
      </c>
      <c r="AT12" s="7">
        <f t="shared" si="2"/>
        <v>3.9954098663341155</v>
      </c>
      <c r="AU12" s="7">
        <f t="shared" si="2"/>
        <v>3.541327434734041</v>
      </c>
      <c r="AV12" s="7">
        <f t="shared" si="2"/>
        <v>4.601836589884523</v>
      </c>
      <c r="AW12" s="7">
        <f t="shared" si="2"/>
        <v>4.213798761212964</v>
      </c>
      <c r="AX12" s="7">
        <f t="shared" si="2"/>
        <v>7.107214644289283</v>
      </c>
      <c r="AY12" s="7">
        <f t="shared" si="2"/>
        <v>9.996449369651206</v>
      </c>
      <c r="AZ12" s="7">
        <f t="shared" si="2"/>
        <v>0</v>
      </c>
      <c r="BD12" s="19">
        <v>6494</v>
      </c>
      <c r="BE12" s="19">
        <v>8</v>
      </c>
      <c r="BF12" s="19">
        <v>29</v>
      </c>
      <c r="BG12" s="19">
        <v>34</v>
      </c>
      <c r="BH12" s="19">
        <v>26</v>
      </c>
      <c r="BI12" s="19">
        <v>48</v>
      </c>
      <c r="BJ12" s="19">
        <v>37</v>
      </c>
      <c r="BK12" s="19">
        <v>28</v>
      </c>
      <c r="BL12" s="19">
        <v>9</v>
      </c>
      <c r="BM12" s="19">
        <v>38</v>
      </c>
      <c r="BN12" s="19">
        <v>45</v>
      </c>
      <c r="BO12" s="19">
        <v>12</v>
      </c>
      <c r="BP12" s="19">
        <v>15</v>
      </c>
      <c r="BQ12" s="19">
        <v>25</v>
      </c>
      <c r="BR12" s="19">
        <v>23</v>
      </c>
      <c r="BS12" s="19">
        <v>40</v>
      </c>
      <c r="BT12" s="19">
        <v>22</v>
      </c>
      <c r="BU12" s="19">
        <v>43</v>
      </c>
      <c r="BV12" s="19">
        <v>7</v>
      </c>
      <c r="BW12" s="19">
        <v>27</v>
      </c>
      <c r="BX12" s="19">
        <v>47</v>
      </c>
      <c r="BY12" s="19">
        <v>13</v>
      </c>
      <c r="BZ12" s="19">
        <v>49</v>
      </c>
      <c r="CA12" s="19">
        <v>11</v>
      </c>
      <c r="CB12" s="19">
        <v>10</v>
      </c>
      <c r="CC12" s="19">
        <v>14</v>
      </c>
      <c r="CD12" s="19">
        <v>42</v>
      </c>
      <c r="CE12" s="19">
        <v>17</v>
      </c>
      <c r="CF12" s="19">
        <v>6</v>
      </c>
      <c r="CG12" s="19">
        <v>41</v>
      </c>
      <c r="CH12" s="19">
        <v>36</v>
      </c>
      <c r="CI12" s="19">
        <v>44</v>
      </c>
      <c r="CJ12" s="19">
        <v>24</v>
      </c>
      <c r="CK12" s="19">
        <v>20</v>
      </c>
      <c r="CL12" s="19">
        <v>5</v>
      </c>
      <c r="CM12" s="19">
        <v>4</v>
      </c>
      <c r="CN12" s="19">
        <v>46</v>
      </c>
      <c r="CO12" s="19">
        <v>19</v>
      </c>
      <c r="CP12" s="19">
        <v>31</v>
      </c>
      <c r="CQ12" s="19">
        <v>32</v>
      </c>
      <c r="CR12" s="19">
        <v>3</v>
      </c>
      <c r="CS12" s="19">
        <v>16</v>
      </c>
      <c r="CT12" s="19">
        <v>2</v>
      </c>
      <c r="CU12" s="19">
        <v>30</v>
      </c>
      <c r="CV12" s="19">
        <v>18</v>
      </c>
      <c r="CW12" s="19">
        <v>35</v>
      </c>
      <c r="CX12" s="19">
        <v>33</v>
      </c>
      <c r="CY12" s="19">
        <v>21</v>
      </c>
      <c r="CZ12" s="19">
        <v>39</v>
      </c>
      <c r="DA12" s="19">
        <v>1</v>
      </c>
      <c r="DB12" s="19">
        <v>344.0554310083389</v>
      </c>
    </row>
    <row r="13" spans="3:106" ht="12.75">
      <c r="C13" s="4"/>
      <c r="BD13" s="19">
        <v>5289</v>
      </c>
      <c r="BE13" s="19">
        <v>8</v>
      </c>
      <c r="BF13" s="19">
        <v>29</v>
      </c>
      <c r="BG13" s="19">
        <v>34</v>
      </c>
      <c r="BH13" s="19">
        <v>26</v>
      </c>
      <c r="BI13" s="19">
        <v>48</v>
      </c>
      <c r="BJ13" s="19">
        <v>37</v>
      </c>
      <c r="BK13" s="19">
        <v>28</v>
      </c>
      <c r="BL13" s="19">
        <v>9</v>
      </c>
      <c r="BM13" s="19">
        <v>38</v>
      </c>
      <c r="BN13" s="19">
        <v>45</v>
      </c>
      <c r="BO13" s="19">
        <v>12</v>
      </c>
      <c r="BP13" s="19">
        <v>15</v>
      </c>
      <c r="BQ13" s="19">
        <v>25</v>
      </c>
      <c r="BR13" s="19">
        <v>23</v>
      </c>
      <c r="BS13" s="19">
        <v>40</v>
      </c>
      <c r="BT13" s="19">
        <v>49</v>
      </c>
      <c r="BU13" s="19">
        <v>43</v>
      </c>
      <c r="BV13" s="19">
        <v>7</v>
      </c>
      <c r="BW13" s="19">
        <v>27</v>
      </c>
      <c r="BX13" s="19">
        <v>47</v>
      </c>
      <c r="BY13" s="19">
        <v>13</v>
      </c>
      <c r="BZ13" s="19">
        <v>16</v>
      </c>
      <c r="CA13" s="19">
        <v>11</v>
      </c>
      <c r="CB13" s="19">
        <v>10</v>
      </c>
      <c r="CC13" s="19">
        <v>14</v>
      </c>
      <c r="CD13" s="19">
        <v>42</v>
      </c>
      <c r="CE13" s="19">
        <v>17</v>
      </c>
      <c r="CF13" s="19">
        <v>6</v>
      </c>
      <c r="CG13" s="19">
        <v>41</v>
      </c>
      <c r="CH13" s="19">
        <v>36</v>
      </c>
      <c r="CI13" s="19">
        <v>44</v>
      </c>
      <c r="CJ13" s="19">
        <v>24</v>
      </c>
      <c r="CK13" s="19">
        <v>20</v>
      </c>
      <c r="CL13" s="19">
        <v>5</v>
      </c>
      <c r="CM13" s="19">
        <v>4</v>
      </c>
      <c r="CN13" s="19">
        <v>46</v>
      </c>
      <c r="CO13" s="19">
        <v>19</v>
      </c>
      <c r="CP13" s="19">
        <v>31</v>
      </c>
      <c r="CQ13" s="19">
        <v>32</v>
      </c>
      <c r="CR13" s="19">
        <v>3</v>
      </c>
      <c r="CS13" s="19">
        <v>22</v>
      </c>
      <c r="CT13" s="19">
        <v>2</v>
      </c>
      <c r="CU13" s="19">
        <v>30</v>
      </c>
      <c r="CV13" s="19">
        <v>18</v>
      </c>
      <c r="CW13" s="19">
        <v>35</v>
      </c>
      <c r="CX13" s="19">
        <v>33</v>
      </c>
      <c r="CY13" s="19">
        <v>21</v>
      </c>
      <c r="CZ13" s="19">
        <v>39</v>
      </c>
      <c r="DA13" s="19">
        <v>1</v>
      </c>
      <c r="DB13" s="19">
        <v>349.2765074968338</v>
      </c>
    </row>
    <row r="14" spans="3:106" ht="12.75">
      <c r="C14" s="4" t="s">
        <v>27</v>
      </c>
      <c r="D14" s="2">
        <v>1</v>
      </c>
      <c r="E14" s="2">
        <v>2</v>
      </c>
      <c r="F14" s="2">
        <v>3</v>
      </c>
      <c r="G14" s="2">
        <v>4</v>
      </c>
      <c r="H14" s="2">
        <v>5</v>
      </c>
      <c r="I14" s="2">
        <v>6</v>
      </c>
      <c r="J14" s="2">
        <v>7</v>
      </c>
      <c r="K14" s="2">
        <v>8</v>
      </c>
      <c r="L14" s="2">
        <v>9</v>
      </c>
      <c r="M14" s="2">
        <v>10</v>
      </c>
      <c r="N14" s="2">
        <v>11</v>
      </c>
      <c r="O14" s="2">
        <v>12</v>
      </c>
      <c r="P14" s="2">
        <v>13</v>
      </c>
      <c r="Q14" s="2">
        <v>14</v>
      </c>
      <c r="R14" s="2">
        <v>15</v>
      </c>
      <c r="S14" s="2">
        <v>16</v>
      </c>
      <c r="T14" s="2">
        <v>17</v>
      </c>
      <c r="U14" s="2">
        <v>18</v>
      </c>
      <c r="V14" s="2">
        <v>19</v>
      </c>
      <c r="W14" s="2">
        <v>20</v>
      </c>
      <c r="X14" s="2">
        <v>21</v>
      </c>
      <c r="Y14" s="2">
        <v>22</v>
      </c>
      <c r="Z14" s="2">
        <v>23</v>
      </c>
      <c r="AA14" s="2">
        <v>24</v>
      </c>
      <c r="AB14" s="2">
        <v>25</v>
      </c>
      <c r="AC14" s="2">
        <v>26</v>
      </c>
      <c r="AD14" s="2">
        <v>27</v>
      </c>
      <c r="AE14" s="2">
        <v>28</v>
      </c>
      <c r="AF14" s="2">
        <v>29</v>
      </c>
      <c r="AG14" s="2">
        <v>30</v>
      </c>
      <c r="AH14" s="2">
        <v>31</v>
      </c>
      <c r="AI14" s="2">
        <v>32</v>
      </c>
      <c r="AJ14" s="2">
        <v>33</v>
      </c>
      <c r="AK14" s="2">
        <v>34</v>
      </c>
      <c r="AL14" s="2">
        <v>35</v>
      </c>
      <c r="AM14" s="2">
        <v>36</v>
      </c>
      <c r="AN14" s="2">
        <v>37</v>
      </c>
      <c r="AO14" s="2">
        <v>38</v>
      </c>
      <c r="AP14" s="2">
        <v>39</v>
      </c>
      <c r="AQ14" s="2">
        <v>40</v>
      </c>
      <c r="AR14" s="2">
        <v>41</v>
      </c>
      <c r="AS14" s="2">
        <v>42</v>
      </c>
      <c r="AT14" s="2">
        <v>43</v>
      </c>
      <c r="AU14" s="2">
        <v>44</v>
      </c>
      <c r="AV14" s="2">
        <v>45</v>
      </c>
      <c r="AW14" s="2">
        <v>46</v>
      </c>
      <c r="AX14" s="2">
        <v>47</v>
      </c>
      <c r="AY14" s="2">
        <v>48</v>
      </c>
      <c r="AZ14" s="2">
        <v>49</v>
      </c>
      <c r="BD14" s="19">
        <v>5273</v>
      </c>
      <c r="BE14" s="19">
        <v>8</v>
      </c>
      <c r="BF14" s="19">
        <v>42</v>
      </c>
      <c r="BG14" s="19">
        <v>41</v>
      </c>
      <c r="BH14" s="19">
        <v>35</v>
      </c>
      <c r="BI14" s="19">
        <v>34</v>
      </c>
      <c r="BJ14" s="19">
        <v>37</v>
      </c>
      <c r="BK14" s="19">
        <v>28</v>
      </c>
      <c r="BL14" s="19">
        <v>9</v>
      </c>
      <c r="BM14" s="19">
        <v>38</v>
      </c>
      <c r="BN14" s="19">
        <v>24</v>
      </c>
      <c r="BO14" s="19">
        <v>12</v>
      </c>
      <c r="BP14" s="19">
        <v>15</v>
      </c>
      <c r="BQ14" s="19">
        <v>25</v>
      </c>
      <c r="BR14" s="19">
        <v>23</v>
      </c>
      <c r="BS14" s="19">
        <v>40</v>
      </c>
      <c r="BT14" s="19">
        <v>49</v>
      </c>
      <c r="BU14" s="19">
        <v>43</v>
      </c>
      <c r="BV14" s="19">
        <v>7</v>
      </c>
      <c r="BW14" s="19">
        <v>27</v>
      </c>
      <c r="BX14" s="19">
        <v>47</v>
      </c>
      <c r="BY14" s="19">
        <v>13</v>
      </c>
      <c r="BZ14" s="19">
        <v>16</v>
      </c>
      <c r="CA14" s="19">
        <v>11</v>
      </c>
      <c r="CB14" s="19">
        <v>32</v>
      </c>
      <c r="CC14" s="19">
        <v>14</v>
      </c>
      <c r="CD14" s="19">
        <v>4</v>
      </c>
      <c r="CE14" s="19">
        <v>17</v>
      </c>
      <c r="CF14" s="19">
        <v>6</v>
      </c>
      <c r="CG14" s="19">
        <v>2</v>
      </c>
      <c r="CH14" s="19">
        <v>36</v>
      </c>
      <c r="CI14" s="19">
        <v>44</v>
      </c>
      <c r="CJ14" s="19">
        <v>39</v>
      </c>
      <c r="CK14" s="19">
        <v>20</v>
      </c>
      <c r="CL14" s="19">
        <v>22</v>
      </c>
      <c r="CM14" s="19">
        <v>45</v>
      </c>
      <c r="CN14" s="19">
        <v>46</v>
      </c>
      <c r="CO14" s="19">
        <v>19</v>
      </c>
      <c r="CP14" s="19">
        <v>31</v>
      </c>
      <c r="CQ14" s="19">
        <v>48</v>
      </c>
      <c r="CR14" s="19">
        <v>3</v>
      </c>
      <c r="CS14" s="19">
        <v>29</v>
      </c>
      <c r="CT14" s="19">
        <v>26</v>
      </c>
      <c r="CU14" s="19">
        <v>30</v>
      </c>
      <c r="CV14" s="19">
        <v>18</v>
      </c>
      <c r="CW14" s="19">
        <v>10</v>
      </c>
      <c r="CX14" s="19">
        <v>33</v>
      </c>
      <c r="CY14" s="19">
        <v>21</v>
      </c>
      <c r="CZ14" s="19">
        <v>5</v>
      </c>
      <c r="DA14" s="19">
        <v>1</v>
      </c>
      <c r="DB14" s="19">
        <v>353.9019099473953</v>
      </c>
    </row>
    <row r="15" spans="3:106" ht="13.5" thickBot="1">
      <c r="C15" s="4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10" t="s">
        <v>28</v>
      </c>
      <c r="BB15" s="10" t="s">
        <v>29</v>
      </c>
      <c r="BD15" s="19">
        <v>5272</v>
      </c>
      <c r="BE15" s="19">
        <v>8</v>
      </c>
      <c r="BF15" s="19">
        <v>29</v>
      </c>
      <c r="BG15" s="19">
        <v>22</v>
      </c>
      <c r="BH15" s="19">
        <v>26</v>
      </c>
      <c r="BI15" s="19">
        <v>48</v>
      </c>
      <c r="BJ15" s="19">
        <v>37</v>
      </c>
      <c r="BK15" s="19">
        <v>28</v>
      </c>
      <c r="BL15" s="19">
        <v>9</v>
      </c>
      <c r="BM15" s="19">
        <v>38</v>
      </c>
      <c r="BN15" s="19">
        <v>45</v>
      </c>
      <c r="BO15" s="19">
        <v>12</v>
      </c>
      <c r="BP15" s="19">
        <v>15</v>
      </c>
      <c r="BQ15" s="19">
        <v>25</v>
      </c>
      <c r="BR15" s="19">
        <v>23</v>
      </c>
      <c r="BS15" s="19">
        <v>40</v>
      </c>
      <c r="BT15" s="19">
        <v>49</v>
      </c>
      <c r="BU15" s="19">
        <v>43</v>
      </c>
      <c r="BV15" s="19">
        <v>7</v>
      </c>
      <c r="BW15" s="19">
        <v>27</v>
      </c>
      <c r="BX15" s="19">
        <v>47</v>
      </c>
      <c r="BY15" s="19">
        <v>13</v>
      </c>
      <c r="BZ15" s="19">
        <v>16</v>
      </c>
      <c r="CA15" s="19">
        <v>11</v>
      </c>
      <c r="CB15" s="19">
        <v>10</v>
      </c>
      <c r="CC15" s="19">
        <v>14</v>
      </c>
      <c r="CD15" s="19">
        <v>42</v>
      </c>
      <c r="CE15" s="19">
        <v>17</v>
      </c>
      <c r="CF15" s="19">
        <v>6</v>
      </c>
      <c r="CG15" s="19">
        <v>41</v>
      </c>
      <c r="CH15" s="19">
        <v>36</v>
      </c>
      <c r="CI15" s="19">
        <v>44</v>
      </c>
      <c r="CJ15" s="19">
        <v>24</v>
      </c>
      <c r="CK15" s="19">
        <v>20</v>
      </c>
      <c r="CL15" s="19">
        <v>5</v>
      </c>
      <c r="CM15" s="19">
        <v>4</v>
      </c>
      <c r="CN15" s="19">
        <v>46</v>
      </c>
      <c r="CO15" s="19">
        <v>19</v>
      </c>
      <c r="CP15" s="19">
        <v>31</v>
      </c>
      <c r="CQ15" s="19">
        <v>32</v>
      </c>
      <c r="CR15" s="19">
        <v>34</v>
      </c>
      <c r="CS15" s="19">
        <v>3</v>
      </c>
      <c r="CT15" s="19">
        <v>2</v>
      </c>
      <c r="CU15" s="19">
        <v>30</v>
      </c>
      <c r="CV15" s="19">
        <v>18</v>
      </c>
      <c r="CW15" s="19">
        <v>35</v>
      </c>
      <c r="CX15" s="19">
        <v>33</v>
      </c>
      <c r="CY15" s="19">
        <v>21</v>
      </c>
      <c r="CZ15" s="19">
        <v>39</v>
      </c>
      <c r="DA15" s="19">
        <v>1</v>
      </c>
      <c r="DB15" s="19">
        <v>354.2810889482498</v>
      </c>
    </row>
    <row r="16" spans="3:106" ht="15" thickBot="1" thickTop="1">
      <c r="C16" s="4">
        <v>1</v>
      </c>
      <c r="D16" s="9" t="s">
        <v>30</v>
      </c>
      <c r="E16" s="9" t="s">
        <v>30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30</v>
      </c>
      <c r="N16" s="9" t="s">
        <v>30</v>
      </c>
      <c r="O16" s="9" t="s">
        <v>30</v>
      </c>
      <c r="P16" s="9" t="s">
        <v>30</v>
      </c>
      <c r="Q16" s="9" t="s">
        <v>30</v>
      </c>
      <c r="R16" s="9" t="s">
        <v>30</v>
      </c>
      <c r="S16" s="9" t="s">
        <v>30</v>
      </c>
      <c r="T16" s="9" t="s">
        <v>30</v>
      </c>
      <c r="U16" s="9" t="s">
        <v>30</v>
      </c>
      <c r="V16" s="9" t="s">
        <v>30</v>
      </c>
      <c r="W16" s="9" t="s">
        <v>30</v>
      </c>
      <c r="X16" s="9" t="s">
        <v>30</v>
      </c>
      <c r="Y16" s="9" t="s">
        <v>30</v>
      </c>
      <c r="Z16" s="9" t="s">
        <v>30</v>
      </c>
      <c r="AA16" s="9" t="s">
        <v>30</v>
      </c>
      <c r="AB16" s="9" t="s">
        <v>30</v>
      </c>
      <c r="AC16" s="9" t="s">
        <v>30</v>
      </c>
      <c r="AD16" s="9" t="s">
        <v>30</v>
      </c>
      <c r="AE16" s="9" t="s">
        <v>30</v>
      </c>
      <c r="AF16" s="9" t="s">
        <v>30</v>
      </c>
      <c r="AG16" s="9" t="s">
        <v>30</v>
      </c>
      <c r="AH16" s="9" t="s">
        <v>30</v>
      </c>
      <c r="AI16" s="9" t="s">
        <v>30</v>
      </c>
      <c r="AJ16" s="9" t="s">
        <v>30</v>
      </c>
      <c r="AK16" s="9" t="s">
        <v>30</v>
      </c>
      <c r="AL16" s="9" t="s">
        <v>30</v>
      </c>
      <c r="AM16" s="9" t="s">
        <v>30</v>
      </c>
      <c r="AN16" s="9" t="s">
        <v>30</v>
      </c>
      <c r="AO16" s="9" t="s">
        <v>30</v>
      </c>
      <c r="AP16" s="9" t="s">
        <v>30</v>
      </c>
      <c r="AQ16" s="9" t="s">
        <v>30</v>
      </c>
      <c r="AR16" s="9" t="s">
        <v>30</v>
      </c>
      <c r="AS16" s="9" t="s">
        <v>30</v>
      </c>
      <c r="AT16" s="9" t="s">
        <v>30</v>
      </c>
      <c r="AU16" s="9" t="s">
        <v>30</v>
      </c>
      <c r="AV16" s="9" t="s">
        <v>30</v>
      </c>
      <c r="AW16" s="9" t="s">
        <v>30</v>
      </c>
      <c r="AX16" s="9" t="s">
        <v>30</v>
      </c>
      <c r="AY16" s="9" t="s">
        <v>30</v>
      </c>
      <c r="AZ16" s="20">
        <v>0</v>
      </c>
      <c r="BA16" s="34">
        <v>67.34</v>
      </c>
      <c r="BB16" s="34">
        <v>14.53</v>
      </c>
      <c r="BD16" s="19">
        <v>4676</v>
      </c>
      <c r="BE16" s="19">
        <v>8</v>
      </c>
      <c r="BF16" s="19">
        <v>42</v>
      </c>
      <c r="BG16" s="19">
        <v>22</v>
      </c>
      <c r="BH16" s="19">
        <v>35</v>
      </c>
      <c r="BI16" s="19">
        <v>34</v>
      </c>
      <c r="BJ16" s="19">
        <v>37</v>
      </c>
      <c r="BK16" s="19">
        <v>28</v>
      </c>
      <c r="BL16" s="19">
        <v>9</v>
      </c>
      <c r="BM16" s="19">
        <v>38</v>
      </c>
      <c r="BN16" s="19">
        <v>24</v>
      </c>
      <c r="BO16" s="19">
        <v>12</v>
      </c>
      <c r="BP16" s="19">
        <v>15</v>
      </c>
      <c r="BQ16" s="19">
        <v>25</v>
      </c>
      <c r="BR16" s="19">
        <v>23</v>
      </c>
      <c r="BS16" s="19">
        <v>40</v>
      </c>
      <c r="BT16" s="19">
        <v>49</v>
      </c>
      <c r="BU16" s="19">
        <v>43</v>
      </c>
      <c r="BV16" s="19">
        <v>7</v>
      </c>
      <c r="BW16" s="19">
        <v>27</v>
      </c>
      <c r="BX16" s="19">
        <v>47</v>
      </c>
      <c r="BY16" s="19">
        <v>13</v>
      </c>
      <c r="BZ16" s="19">
        <v>16</v>
      </c>
      <c r="CA16" s="19">
        <v>11</v>
      </c>
      <c r="CB16" s="19">
        <v>32</v>
      </c>
      <c r="CC16" s="19">
        <v>14</v>
      </c>
      <c r="CD16" s="19">
        <v>4</v>
      </c>
      <c r="CE16" s="19">
        <v>17</v>
      </c>
      <c r="CF16" s="19">
        <v>6</v>
      </c>
      <c r="CG16" s="19">
        <v>2</v>
      </c>
      <c r="CH16" s="19">
        <v>36</v>
      </c>
      <c r="CI16" s="19">
        <v>44</v>
      </c>
      <c r="CJ16" s="19">
        <v>39</v>
      </c>
      <c r="CK16" s="19">
        <v>20</v>
      </c>
      <c r="CL16" s="19">
        <v>3</v>
      </c>
      <c r="CM16" s="19">
        <v>45</v>
      </c>
      <c r="CN16" s="19">
        <v>46</v>
      </c>
      <c r="CO16" s="19">
        <v>19</v>
      </c>
      <c r="CP16" s="19">
        <v>31</v>
      </c>
      <c r="CQ16" s="19">
        <v>48</v>
      </c>
      <c r="CR16" s="19">
        <v>41</v>
      </c>
      <c r="CS16" s="19">
        <v>29</v>
      </c>
      <c r="CT16" s="19">
        <v>26</v>
      </c>
      <c r="CU16" s="19">
        <v>30</v>
      </c>
      <c r="CV16" s="19">
        <v>18</v>
      </c>
      <c r="CW16" s="19">
        <v>10</v>
      </c>
      <c r="CX16" s="19">
        <v>33</v>
      </c>
      <c r="CY16" s="19">
        <v>21</v>
      </c>
      <c r="CZ16" s="19">
        <v>5</v>
      </c>
      <c r="DA16" s="19">
        <v>1</v>
      </c>
      <c r="DB16" s="19">
        <v>354.4728842973709</v>
      </c>
    </row>
    <row r="17" spans="3:106" ht="15" thickBot="1" thickTop="1">
      <c r="C17" s="4">
        <v>2</v>
      </c>
      <c r="D17" s="9">
        <f>SQRT((INDEX(US_2_x,2)-INDEX(US_2_x,1))^2+(INDEX(US_2_y,2)-INDEX(US_2_y,1))^2)</f>
        <v>47.26653149957166</v>
      </c>
      <c r="E17" s="9" t="s">
        <v>30</v>
      </c>
      <c r="F17" s="9">
        <f>SQRT((INDEX(US_2_x,2)-INDEX(US_2_x,3))^2+(INDEX(US_2_y,2)-INDEX(US_2_y,3))^2)</f>
        <v>35.87423169909008</v>
      </c>
      <c r="G17" s="9">
        <f>SQRT((INDEX(US_2_x,2)-INDEX(US_2_x,4))^2+(INDEX(US_2_y,2)-INDEX(US_2_y,4))^2)</f>
        <v>20.11662247992938</v>
      </c>
      <c r="H17" s="9">
        <f>SQRT((INDEX(US_2_x,2)-INDEX(US_2_x,5))^2+(INDEX(US_2_y,2)-INDEX(US_2_y,5))^2)</f>
        <v>18.41400825458705</v>
      </c>
      <c r="I17" s="9">
        <f>SQRT((INDEX(US_2_x,2)-INDEX(US_2_x,6))^2+(INDEX(US_2_y,2)-INDEX(US_2_y,6))^2)</f>
        <v>69.76770671306318</v>
      </c>
      <c r="J17" s="9">
        <f>SQRT((INDEX(US_2_x,2)-INDEX(US_2_x,7))^2+(INDEX(US_2_y,2)-INDEX(US_2_y,7))^2)</f>
        <v>65.0000276923018</v>
      </c>
      <c r="K17" s="9">
        <f>SQRT((INDEX(US_2_x,2)-INDEX(US_2_x,8))^2+(INDEX(US_2_y,2)-INDEX(US_2_y,8))^2)</f>
        <v>51.868668770270176</v>
      </c>
      <c r="L17" s="9">
        <f>SQRT((INDEX(US_2_x,2)-INDEX(US_2_x,9))^2+(INDEX(US_2_y,2)-INDEX(US_2_y,9))^2)</f>
        <v>50.27708225424384</v>
      </c>
      <c r="M17" s="9">
        <f>SQRT((INDEX(US_2_x,2)-INDEX(US_2_x,10))^2+(INDEX(US_2_y,2)-INDEX(US_2_y,10))^2)</f>
        <v>23.268351896943624</v>
      </c>
      <c r="N17" s="9">
        <f>SQRT((INDEX(US_2_x,2)-INDEX(US_2_x,11))^2+(INDEX(US_2_y,2)-INDEX(US_2_y,11))^2)</f>
        <v>41.478236462029095</v>
      </c>
      <c r="O17" s="9">
        <f>SQRT((INDEX(US_2_x,2)-INDEX(US_2_x,12))^2+(INDEX(US_2_y,2)-INDEX(US_2_y,12))^2)</f>
        <v>47.22743376470926</v>
      </c>
      <c r="P17" s="9">
        <f>SQRT((INDEX(US_2_x,2)-INDEX(US_2_x,13))^2+(INDEX(US_2_y,2)-INDEX(US_2_y,13))^2)</f>
        <v>36.3491746811396</v>
      </c>
      <c r="Q17" s="9">
        <f>SQRT((INDEX(US_2_x,2)-INDEX(US_2_x,14))^2+(INDEX(US_2_y,2)-INDEX(US_2_y,14))^2)</f>
        <v>31.241424423351763</v>
      </c>
      <c r="R17" s="9">
        <f>SQRT((INDEX(US_2_x,2)-INDEX(US_2_x,15))^2+(INDEX(US_2_y,2)-INDEX(US_2_y,15))^2)</f>
        <v>49.061109852917106</v>
      </c>
      <c r="S17" s="9">
        <f>SQRT((INDEX(US_2_x,2)-INDEX(US_2_x,16))^2+(INDEX(US_2_y,2)-INDEX(US_2_y,16))^2)</f>
        <v>39.296510023156</v>
      </c>
      <c r="T17" s="9">
        <f>SQRT((INDEX(US_2_x,2)-INDEX(US_2_x,17))^2+(INDEX(US_2_y,2)-INDEX(US_2_y,17))^2)</f>
        <v>74.62785002932887</v>
      </c>
      <c r="U17" s="9">
        <f>SQRT((INDEX(US_2_x,2)-INDEX(US_2_x,18))^2+(INDEX(US_2_y,2)-INDEX(US_2_y,18))^2)</f>
        <v>63.37100362153026</v>
      </c>
      <c r="V17" s="9">
        <f>SQRT((INDEX(US_2_x,2)-INDEX(US_2_x,19))^2+(INDEX(US_2_y,2)-INDEX(US_2_y,19))^2)</f>
        <v>72.42331806814708</v>
      </c>
      <c r="W17" s="9">
        <f>SQRT((INDEX(US_2_x,2)-INDEX(US_2_x,20))^2+(INDEX(US_2_y,2)-INDEX(US_2_y,20))^2)</f>
        <v>51.04555808295174</v>
      </c>
      <c r="X17" s="9">
        <f>SQRT((INDEX(US_2_x,2)-INDEX(US_2_x,21))^2+(INDEX(US_2_y,2)-INDEX(US_2_y,21))^2)</f>
        <v>40.42942121772212</v>
      </c>
      <c r="Y17" s="9">
        <f>SQRT((INDEX(US_2_x,2)-INDEX(US_2_x,22))^2+(INDEX(US_2_y,2)-INDEX(US_2_y,22))^2)</f>
        <v>40.21370910522928</v>
      </c>
      <c r="Z17" s="9">
        <f>SQRT((INDEX(US_2_x,2)-INDEX(US_2_x,23))^2+(INDEX(US_2_y,2)-INDEX(US_2_y,23))^2)</f>
        <v>36.762399268818136</v>
      </c>
      <c r="AA17" s="9">
        <f>SQRT((INDEX(US_2_x,2)-INDEX(US_2_x,24))^2+(INDEX(US_2_y,2)-INDEX(US_2_y,24))^2)</f>
        <v>28.6258641790951</v>
      </c>
      <c r="AB17" s="9">
        <f>SQRT((INDEX(US_2_x,2)-INDEX(US_2_x,25))^2+(INDEX(US_2_y,2)-INDEX(US_2_y,25))^2)</f>
        <v>31.059330321177242</v>
      </c>
      <c r="AC17" s="9">
        <f>SQRT((INDEX(US_2_x,2)-INDEX(US_2_x,26))^2+(INDEX(US_2_y,2)-INDEX(US_2_y,26))^2)</f>
        <v>18.491565644909574</v>
      </c>
      <c r="AD17" s="9">
        <f>SQRT((INDEX(US_2_x,2)-INDEX(US_2_x,27))^2+(INDEX(US_2_y,2)-INDEX(US_2_y,27))^2)</f>
        <v>71.72877037841928</v>
      </c>
      <c r="AE17" s="9">
        <f>SQRT((INDEX(US_2_x,2)-INDEX(US_2_x,28))^2+(INDEX(US_2_y,2)-INDEX(US_2_y,28))^2)</f>
        <v>66.29004827272341</v>
      </c>
      <c r="AF17" s="9">
        <f>SQRT((INDEX(US_2_x,2)-INDEX(US_2_x,29))^2+(INDEX(US_2_y,2)-INDEX(US_2_y,29))^2)</f>
        <v>12.03184108937614</v>
      </c>
      <c r="AG17" s="9">
        <f>SQRT((INDEX(US_2_x,2)-INDEX(US_2_x,30))^2+(INDEX(US_2_y,2)-INDEX(US_2_y,30))^2)</f>
        <v>68.13088653466943</v>
      </c>
      <c r="AH17" s="9">
        <f>SQRT((INDEX(US_2_x,2)-INDEX(US_2_x,31))^2+(INDEX(US_2_y,2)-INDEX(US_2_y,31))^2)</f>
        <v>60.005853881100634</v>
      </c>
      <c r="AI17" s="9">
        <f>SQRT((INDEX(US_2_x,2)-INDEX(US_2_x,32))^2+(INDEX(US_2_y,2)-INDEX(US_2_y,32))^2)</f>
        <v>34.46907164401153</v>
      </c>
      <c r="AJ17" s="9">
        <f>SQRT((INDEX(US_2_x,2)-INDEX(US_2_x,33))^2+(INDEX(US_2_y,2)-INDEX(US_2_y,33))^2)</f>
        <v>52.52220292409678</v>
      </c>
      <c r="AK17" s="9">
        <f>SQRT((INDEX(US_2_x,2)-INDEX(US_2_x,34))^2+(INDEX(US_2_y,2)-INDEX(US_2_y,34))^2)</f>
        <v>26.555543677356713</v>
      </c>
      <c r="AL17" s="9">
        <f>SQRT((INDEX(US_2_x,2)-INDEX(US_2_x,35))^2+(INDEX(US_2_y,2)-INDEX(US_2_y,35))^2)</f>
        <v>31.225848267100766</v>
      </c>
      <c r="AM17" s="9">
        <f>SQRT((INDEX(US_2_x,2)-INDEX(US_2_x,36))^2+(INDEX(US_2_y,2)-INDEX(US_2_y,36))^2)</f>
        <v>62.734030637286494</v>
      </c>
      <c r="AN17" s="9">
        <f>SQRT((INDEX(US_2_x,2)-INDEX(US_2_x,37))^2+(INDEX(US_2_y,2)-INDEX(US_2_y,37))^2)</f>
        <v>71.82761725130524</v>
      </c>
      <c r="AO17" s="9">
        <f>SQRT((INDEX(US_2_x,2)-INDEX(US_2_x,38))^2+(INDEX(US_2_y,2)-INDEX(US_2_y,38))^2)</f>
        <v>56.21924670430938</v>
      </c>
      <c r="AP17" s="9">
        <f>SQRT((INDEX(US_2_x,2)-INDEX(US_2_x,39))^2+(INDEX(US_2_y,2)-INDEX(US_2_y,39))^2)</f>
        <v>30.84114459613975</v>
      </c>
      <c r="AQ17" s="9">
        <f>SQRT((INDEX(US_2_x,2)-INDEX(US_2_x,40))^2+(INDEX(US_2_y,2)-INDEX(US_2_y,40))^2)</f>
        <v>45.630109576901084</v>
      </c>
      <c r="AR17" s="9">
        <f>SQRT((INDEX(US_2_x,2)-INDEX(US_2_x,41))^2+(INDEX(US_2_y,2)-INDEX(US_2_y,41))^2)</f>
        <v>27.550687831703954</v>
      </c>
      <c r="AS17" s="20">
        <f>SQRT((INDEX(US_2_x,2)-INDEX(US_2_x,42))^2+(INDEX(US_2_y,2)-INDEX(US_2_y,42))^2)</f>
        <v>15.909022597255936</v>
      </c>
      <c r="AT17" s="9">
        <f>SQRT((INDEX(US_2_x,2)-INDEX(US_2_x,43))^2+(INDEX(US_2_y,2)-INDEX(US_2_y,43))^2)</f>
        <v>70.26701217498862</v>
      </c>
      <c r="AU17" s="9">
        <f>SQRT((INDEX(US_2_x,2)-INDEX(US_2_x,44))^2+(INDEX(US_2_y,2)-INDEX(US_2_y,44))^2)</f>
        <v>61.85678378318744</v>
      </c>
      <c r="AV17" s="9">
        <f>SQRT((INDEX(US_2_x,2)-INDEX(US_2_x,45))^2+(INDEX(US_2_y,2)-INDEX(US_2_y,45))^2)</f>
        <v>34.71208002986856</v>
      </c>
      <c r="AW17" s="9">
        <f>SQRT((INDEX(US_2_x,2)-INDEX(US_2_x,46))^2+(INDEX(US_2_y,2)-INDEX(US_2_y,46))^2)</f>
        <v>54.60747659432726</v>
      </c>
      <c r="AX17" s="9">
        <f>SQRT((INDEX(US_2_x,2)-INDEX(US_2_x,47))^2+(INDEX(US_2_y,2)-INDEX(US_2_y,47))^2)</f>
        <v>43.890554792574676</v>
      </c>
      <c r="AY17" s="9">
        <f>SQRT((INDEX(US_2_x,2)-INDEX(US_2_x,48))^2+(INDEX(US_2_y,2)-INDEX(US_2_y,48))^2)</f>
        <v>20.872766946430463</v>
      </c>
      <c r="AZ17" s="9" t="s">
        <v>30</v>
      </c>
      <c r="BA17" s="34">
        <v>22.33</v>
      </c>
      <c r="BB17" s="34">
        <v>0.1</v>
      </c>
      <c r="BD17" s="19">
        <v>4638</v>
      </c>
      <c r="BE17" s="19">
        <v>8</v>
      </c>
      <c r="BF17" s="19">
        <v>42</v>
      </c>
      <c r="BG17" s="19">
        <v>22</v>
      </c>
      <c r="BH17" s="19">
        <v>35</v>
      </c>
      <c r="BI17" s="19">
        <v>34</v>
      </c>
      <c r="BJ17" s="19">
        <v>36</v>
      </c>
      <c r="BK17" s="19">
        <v>28</v>
      </c>
      <c r="BL17" s="19">
        <v>9</v>
      </c>
      <c r="BM17" s="19">
        <v>38</v>
      </c>
      <c r="BN17" s="19">
        <v>24</v>
      </c>
      <c r="BO17" s="19">
        <v>12</v>
      </c>
      <c r="BP17" s="19">
        <v>15</v>
      </c>
      <c r="BQ17" s="19">
        <v>25</v>
      </c>
      <c r="BR17" s="19">
        <v>23</v>
      </c>
      <c r="BS17" s="19">
        <v>40</v>
      </c>
      <c r="BT17" s="19">
        <v>49</v>
      </c>
      <c r="BU17" s="19">
        <v>27</v>
      </c>
      <c r="BV17" s="19">
        <v>7</v>
      </c>
      <c r="BW17" s="19">
        <v>37</v>
      </c>
      <c r="BX17" s="19">
        <v>47</v>
      </c>
      <c r="BY17" s="19">
        <v>13</v>
      </c>
      <c r="BZ17" s="19">
        <v>16</v>
      </c>
      <c r="CA17" s="19">
        <v>11</v>
      </c>
      <c r="CB17" s="19">
        <v>32</v>
      </c>
      <c r="CC17" s="19">
        <v>14</v>
      </c>
      <c r="CD17" s="19">
        <v>4</v>
      </c>
      <c r="CE17" s="19">
        <v>19</v>
      </c>
      <c r="CF17" s="19">
        <v>30</v>
      </c>
      <c r="CG17" s="19">
        <v>2</v>
      </c>
      <c r="CH17" s="19">
        <v>43</v>
      </c>
      <c r="CI17" s="19">
        <v>44</v>
      </c>
      <c r="CJ17" s="19">
        <v>39</v>
      </c>
      <c r="CK17" s="19">
        <v>20</v>
      </c>
      <c r="CL17" s="19">
        <v>3</v>
      </c>
      <c r="CM17" s="19">
        <v>45</v>
      </c>
      <c r="CN17" s="19">
        <v>46</v>
      </c>
      <c r="CO17" s="19">
        <v>6</v>
      </c>
      <c r="CP17" s="19">
        <v>31</v>
      </c>
      <c r="CQ17" s="19">
        <v>48</v>
      </c>
      <c r="CR17" s="19">
        <v>41</v>
      </c>
      <c r="CS17" s="19">
        <v>29</v>
      </c>
      <c r="CT17" s="19">
        <v>26</v>
      </c>
      <c r="CU17" s="19">
        <v>17</v>
      </c>
      <c r="CV17" s="19">
        <v>18</v>
      </c>
      <c r="CW17" s="19">
        <v>10</v>
      </c>
      <c r="CX17" s="19">
        <v>33</v>
      </c>
      <c r="CY17" s="19">
        <v>21</v>
      </c>
      <c r="CZ17" s="19">
        <v>5</v>
      </c>
      <c r="DA17" s="19">
        <v>1</v>
      </c>
      <c r="DB17" s="19">
        <v>355.57720386981964</v>
      </c>
    </row>
    <row r="18" spans="3:106" ht="15" thickBot="1" thickTop="1">
      <c r="C18" s="4">
        <v>3</v>
      </c>
      <c r="D18" s="9">
        <f>SQRT((INDEX(US_2_x,3)-INDEX(US_2_x,1))^2+(INDEX(US_2_y,3)-INDEX(US_2_y,1))^2)</f>
        <v>12.043492018513573</v>
      </c>
      <c r="E18" s="9">
        <f>SQRT((INDEX(US_2_x,3)-INDEX(US_2_x,2))^2+(INDEX(US_2_y,3)-INDEX(US_2_y,2))^2)</f>
        <v>35.87423169909008</v>
      </c>
      <c r="F18" s="9" t="s">
        <v>30</v>
      </c>
      <c r="G18" s="9">
        <f>SQRT((INDEX(US_2_x,3)-INDEX(US_2_x,4))^2+(INDEX(US_2_y,3)-INDEX(US_2_y,4))^2)</f>
        <v>51.62027702366581</v>
      </c>
      <c r="H18" s="9">
        <f>SQRT((INDEX(US_2_x,3)-INDEX(US_2_x,5))^2+(INDEX(US_2_y,3)-INDEX(US_2_y,5))^2)</f>
        <v>24.578657408410248</v>
      </c>
      <c r="I18" s="9">
        <f>SQRT((INDEX(US_2_x,3)-INDEX(US_2_x,6))^2+(INDEX(US_2_y,3)-INDEX(US_2_y,6))^2)</f>
        <v>36.77395817694908</v>
      </c>
      <c r="J18" s="9">
        <f>SQRT((INDEX(US_2_x,3)-INDEX(US_2_x,7))^2+(INDEX(US_2_y,3)-INDEX(US_2_y,7))^2)</f>
        <v>30.70360402298076</v>
      </c>
      <c r="K18" s="9">
        <f>SQRT((INDEX(US_2_x,3)-INDEX(US_2_x,8))^2+(INDEX(US_2_y,3)-INDEX(US_2_y,8))^2)</f>
        <v>17.419991389205688</v>
      </c>
      <c r="L18" s="9">
        <f>SQRT((INDEX(US_2_x,3)-INDEX(US_2_x,9))^2+(INDEX(US_2_y,3)-INDEX(US_2_y,9))^2)</f>
        <v>14.435875449725943</v>
      </c>
      <c r="M18" s="9">
        <f>SQRT((INDEX(US_2_x,3)-INDEX(US_2_x,10))^2+(INDEX(US_2_y,3)-INDEX(US_2_y,10))^2)</f>
        <v>44.619893545368306</v>
      </c>
      <c r="N18" s="9">
        <f>SQRT((INDEX(US_2_x,3)-INDEX(US_2_x,11))^2+(INDEX(US_2_y,3)-INDEX(US_2_y,11))^2)</f>
        <v>11.836249405956263</v>
      </c>
      <c r="O18" s="9">
        <f>SQRT((INDEX(US_2_x,3)-INDEX(US_2_x,12))^2+(INDEX(US_2_y,3)-INDEX(US_2_y,12))^2)</f>
        <v>15.199611837149002</v>
      </c>
      <c r="P18" s="9">
        <f>SQRT((INDEX(US_2_x,3)-INDEX(US_2_x,13))^2+(INDEX(US_2_y,3)-INDEX(US_2_y,13))^2)</f>
        <v>14.971559704987314</v>
      </c>
      <c r="Q18" s="9">
        <f>SQRT((INDEX(US_2_x,3)-INDEX(US_2_x,14))^2+(INDEX(US_2_y,3)-INDEX(US_2_y,14))^2)</f>
        <v>11.027443039979849</v>
      </c>
      <c r="R18" s="9">
        <f>SQRT((INDEX(US_2_x,3)-INDEX(US_2_x,15))^2+(INDEX(US_2_y,3)-INDEX(US_2_y,15))^2)</f>
        <v>15.008564221803496</v>
      </c>
      <c r="S18" s="9">
        <f>SQRT((INDEX(US_2_x,3)-INDEX(US_2_x,16))^2+(INDEX(US_2_y,3)-INDEX(US_2_y,16))^2)</f>
        <v>9.502389173255326</v>
      </c>
      <c r="T18" s="9">
        <f>SQRT((INDEX(US_2_x,3)-INDEX(US_2_x,17))^2+(INDEX(US_2_y,3)-INDEX(US_2_y,17))^2)</f>
        <v>42.97459831109536</v>
      </c>
      <c r="U18" s="9">
        <f>SQRT((INDEX(US_2_x,3)-INDEX(US_2_x,18))^2+(INDEX(US_2_y,3)-INDEX(US_2_y,18))^2)</f>
        <v>29.024437979054824</v>
      </c>
      <c r="V18" s="9">
        <f>SQRT((INDEX(US_2_x,3)-INDEX(US_2_x,19))^2+(INDEX(US_2_y,3)-INDEX(US_2_y,19))^2)</f>
        <v>39.66384373708629</v>
      </c>
      <c r="W18" s="9">
        <f>SQRT((INDEX(US_2_x,3)-INDEX(US_2_x,20))^2+(INDEX(US_2_y,3)-INDEX(US_2_y,20))^2)</f>
        <v>21.68794365540449</v>
      </c>
      <c r="X18" s="9">
        <f>SQRT((INDEX(US_2_x,3)-INDEX(US_2_x,21))^2+(INDEX(US_2_y,3)-INDEX(US_2_y,21))^2)</f>
        <v>22.08898820679661</v>
      </c>
      <c r="Y18" s="9">
        <f>SQRT((INDEX(US_2_x,3)-INDEX(US_2_x,22))^2+(INDEX(US_2_y,3)-INDEX(US_2_y,22))^2)</f>
        <v>6.516417727555533</v>
      </c>
      <c r="Z18" s="9">
        <f>SQRT((INDEX(US_2_x,3)-INDEX(US_2_x,23))^2+(INDEX(US_2_y,3)-INDEX(US_2_y,23))^2)</f>
        <v>8.271184921158513</v>
      </c>
      <c r="AA18" s="9">
        <f>SQRT((INDEX(US_2_x,3)-INDEX(US_2_x,24))^2+(INDEX(US_2_y,3)-INDEX(US_2_y,24))^2)</f>
        <v>41.35799076357554</v>
      </c>
      <c r="AB18" s="9">
        <f>SQRT((INDEX(US_2_x,3)-INDEX(US_2_x,25))^2+(INDEX(US_2_y,3)-INDEX(US_2_y,25))^2)</f>
        <v>15.17278155118566</v>
      </c>
      <c r="AC18" s="9">
        <f>SQRT((INDEX(US_2_x,3)-INDEX(US_2_x,26))^2+(INDEX(US_2_y,3)-INDEX(US_2_y,26))^2)</f>
        <v>48.72961009488994</v>
      </c>
      <c r="AD18" s="9">
        <f>SQRT((INDEX(US_2_x,3)-INDEX(US_2_x,27))^2+(INDEX(US_2_y,3)-INDEX(US_2_y,27))^2)</f>
        <v>39.530557800263836</v>
      </c>
      <c r="AE18" s="9">
        <f>SQRT((INDEX(US_2_x,3)-INDEX(US_2_x,28))^2+(INDEX(US_2_y,3)-INDEX(US_2_y,28))^2)</f>
        <v>32.53055486769323</v>
      </c>
      <c r="AF18" s="9">
        <f>SQRT((INDEX(US_2_x,3)-INDEX(US_2_x,29))^2+(INDEX(US_2_y,3)-INDEX(US_2_y,29))^2)</f>
        <v>24.45983033465277</v>
      </c>
      <c r="AG18" s="9">
        <f>SQRT((INDEX(US_2_x,3)-INDEX(US_2_x,30))^2+(INDEX(US_2_y,3)-INDEX(US_2_y,30))^2)</f>
        <v>35.80280435943531</v>
      </c>
      <c r="AH18" s="9">
        <f>SQRT((INDEX(US_2_x,3)-INDEX(US_2_x,31))^2+(INDEX(US_2_y,3)-INDEX(US_2_y,31))^2)</f>
        <v>24.405642790141798</v>
      </c>
      <c r="AI18" s="9">
        <f>SQRT((INDEX(US_2_x,3)-INDEX(US_2_x,32))^2+(INDEX(US_2_y,3)-INDEX(US_2_y,32))^2)</f>
        <v>29.596259898845318</v>
      </c>
      <c r="AJ18" s="9">
        <f>SQRT((INDEX(US_2_x,3)-INDEX(US_2_x,33))^2+(INDEX(US_2_y,3)-INDEX(US_2_y,33))^2)</f>
        <v>19.651506303589052</v>
      </c>
      <c r="AK18" s="9">
        <f>SQRT((INDEX(US_2_x,3)-INDEX(US_2_x,34))^2+(INDEX(US_2_y,3)-INDEX(US_2_y,34))^2)</f>
        <v>9.492944748601458</v>
      </c>
      <c r="AL18" s="9">
        <f>SQRT((INDEX(US_2_x,3)-INDEX(US_2_x,35))^2+(INDEX(US_2_y,3)-INDEX(US_2_y,35))^2)</f>
        <v>55.63660036342983</v>
      </c>
      <c r="AM18" s="9">
        <f>SQRT((INDEX(US_2_x,3)-INDEX(US_2_x,36))^2+(INDEX(US_2_y,3)-INDEX(US_2_y,36))^2)</f>
        <v>29.150555740843092</v>
      </c>
      <c r="AN18" s="9">
        <f>SQRT((INDEX(US_2_x,3)-INDEX(US_2_x,37))^2+(INDEX(US_2_y,3)-INDEX(US_2_y,37))^2)</f>
        <v>38.77765464800573</v>
      </c>
      <c r="AO18" s="9">
        <f>SQRT((INDEX(US_2_x,3)-INDEX(US_2_x,38))^2+(INDEX(US_2_y,3)-INDEX(US_2_y,38))^2)</f>
        <v>20.345623608039155</v>
      </c>
      <c r="AP18" s="9">
        <f>SQRT((INDEX(US_2_x,3)-INDEX(US_2_x,39))^2+(INDEX(US_2_y,3)-INDEX(US_2_y,39))^2)</f>
        <v>24.81963134295108</v>
      </c>
      <c r="AQ18" s="20">
        <f>SQRT((INDEX(US_2_x,3)-INDEX(US_2_x,40))^2+(INDEX(US_2_y,3)-INDEX(US_2_y,40))^2)</f>
        <v>10.269381675641434</v>
      </c>
      <c r="AR18" s="9">
        <f>SQRT((INDEX(US_2_x,3)-INDEX(US_2_x,41))^2+(INDEX(US_2_y,3)-INDEX(US_2_y,41))^2)</f>
        <v>13.94876697059636</v>
      </c>
      <c r="AS18" s="9">
        <f>SQRT((INDEX(US_2_x,3)-INDEX(US_2_x,42))^2+(INDEX(US_2_y,3)-INDEX(US_2_y,42))^2)</f>
        <v>36.169076571015744</v>
      </c>
      <c r="AT18" s="9">
        <f>SQRT((INDEX(US_2_x,3)-INDEX(US_2_x,43))^2+(INDEX(US_2_y,3)-INDEX(US_2_y,43))^2)</f>
        <v>38.90774344523208</v>
      </c>
      <c r="AU18" s="9">
        <f>SQRT((INDEX(US_2_x,3)-INDEX(US_2_x,44))^2+(INDEX(US_2_y,3)-INDEX(US_2_y,44))^2)</f>
        <v>26.852683292363917</v>
      </c>
      <c r="AV18" s="9">
        <f>SQRT((INDEX(US_2_x,3)-INDEX(US_2_x,45))^2+(INDEX(US_2_y,3)-INDEX(US_2_y,45))^2)</f>
        <v>56.60203529909503</v>
      </c>
      <c r="AW18" s="9">
        <f>SQRT((INDEX(US_2_x,3)-INDEX(US_2_x,46))^2+(INDEX(US_2_y,3)-INDEX(US_2_y,46))^2)</f>
        <v>20.22990360827258</v>
      </c>
      <c r="AX18" s="9">
        <f>SQRT((INDEX(US_2_x,3)-INDEX(US_2_x,47))^2+(INDEX(US_2_y,3)-INDEX(US_2_y,47))^2)</f>
        <v>18.66167463010755</v>
      </c>
      <c r="AY18" s="9">
        <f>SQRT((INDEX(US_2_x,3)-INDEX(US_2_x,48))^2+(INDEX(US_2_y,3)-INDEX(US_2_y,48))^2)</f>
        <v>25.59955663678572</v>
      </c>
      <c r="AZ18" s="9" t="s">
        <v>30</v>
      </c>
      <c r="BA18" s="34">
        <v>55.3</v>
      </c>
      <c r="BB18" s="34">
        <v>14.24</v>
      </c>
      <c r="BD18" s="19">
        <v>4636</v>
      </c>
      <c r="BE18" s="19">
        <v>8</v>
      </c>
      <c r="BF18" s="19">
        <v>42</v>
      </c>
      <c r="BG18" s="19">
        <v>22</v>
      </c>
      <c r="BH18" s="19">
        <v>35</v>
      </c>
      <c r="BI18" s="19">
        <v>34</v>
      </c>
      <c r="BJ18" s="19">
        <v>37</v>
      </c>
      <c r="BK18" s="19">
        <v>6</v>
      </c>
      <c r="BL18" s="19">
        <v>9</v>
      </c>
      <c r="BM18" s="19">
        <v>38</v>
      </c>
      <c r="BN18" s="19">
        <v>24</v>
      </c>
      <c r="BO18" s="19">
        <v>12</v>
      </c>
      <c r="BP18" s="19">
        <v>15</v>
      </c>
      <c r="BQ18" s="19">
        <v>25</v>
      </c>
      <c r="BR18" s="19">
        <v>23</v>
      </c>
      <c r="BS18" s="19">
        <v>40</v>
      </c>
      <c r="BT18" s="19">
        <v>49</v>
      </c>
      <c r="BU18" s="19">
        <v>43</v>
      </c>
      <c r="BV18" s="19">
        <v>7</v>
      </c>
      <c r="BW18" s="19">
        <v>27</v>
      </c>
      <c r="BX18" s="19">
        <v>47</v>
      </c>
      <c r="BY18" s="19">
        <v>13</v>
      </c>
      <c r="BZ18" s="19">
        <v>16</v>
      </c>
      <c r="CA18" s="19">
        <v>11</v>
      </c>
      <c r="CB18" s="19">
        <v>32</v>
      </c>
      <c r="CC18" s="19">
        <v>14</v>
      </c>
      <c r="CD18" s="19">
        <v>4</v>
      </c>
      <c r="CE18" s="19">
        <v>17</v>
      </c>
      <c r="CF18" s="19">
        <v>36</v>
      </c>
      <c r="CG18" s="19">
        <v>2</v>
      </c>
      <c r="CH18" s="19">
        <v>28</v>
      </c>
      <c r="CI18" s="19">
        <v>44</v>
      </c>
      <c r="CJ18" s="19">
        <v>39</v>
      </c>
      <c r="CK18" s="19">
        <v>20</v>
      </c>
      <c r="CL18" s="19">
        <v>3</v>
      </c>
      <c r="CM18" s="19">
        <v>45</v>
      </c>
      <c r="CN18" s="19">
        <v>46</v>
      </c>
      <c r="CO18" s="19">
        <v>19</v>
      </c>
      <c r="CP18" s="19">
        <v>31</v>
      </c>
      <c r="CQ18" s="19">
        <v>48</v>
      </c>
      <c r="CR18" s="19">
        <v>41</v>
      </c>
      <c r="CS18" s="19">
        <v>29</v>
      </c>
      <c r="CT18" s="19">
        <v>26</v>
      </c>
      <c r="CU18" s="19">
        <v>30</v>
      </c>
      <c r="CV18" s="19">
        <v>18</v>
      </c>
      <c r="CW18" s="19">
        <v>10</v>
      </c>
      <c r="CX18" s="19">
        <v>33</v>
      </c>
      <c r="CY18" s="19">
        <v>21</v>
      </c>
      <c r="CZ18" s="19">
        <v>5</v>
      </c>
      <c r="DA18" s="19">
        <v>1</v>
      </c>
      <c r="DB18" s="19">
        <v>356.209720492363</v>
      </c>
    </row>
    <row r="19" spans="3:106" ht="15" thickBot="1" thickTop="1">
      <c r="C19" s="4">
        <v>4</v>
      </c>
      <c r="D19" s="9">
        <f>SQRT((INDEX(US_2_x,4)-INDEX(US_2_x,1))^2+(INDEX(US_2_y,4)-INDEX(US_2_y,1))^2)</f>
        <v>63.62502102160754</v>
      </c>
      <c r="E19" s="9">
        <f>SQRT((INDEX(US_2_x,4)-INDEX(US_2_x,2))^2+(INDEX(US_2_y,4)-INDEX(US_2_y,2))^2)</f>
        <v>20.11662247992938</v>
      </c>
      <c r="F19" s="9">
        <f>SQRT((INDEX(US_2_x,4)-INDEX(US_2_x,3))^2+(INDEX(US_2_y,4)-INDEX(US_2_y,3))^2)</f>
        <v>51.62027702366581</v>
      </c>
      <c r="G19" s="9" t="s">
        <v>30</v>
      </c>
      <c r="H19" s="9">
        <f>SQRT((INDEX(US_2_x,4)-INDEX(US_2_x,5))^2+(INDEX(US_2_y,4)-INDEX(US_2_y,5))^2)</f>
        <v>27.986728997866116</v>
      </c>
      <c r="I19" s="9">
        <f>SQRT((INDEX(US_2_x,4)-INDEX(US_2_x,6))^2+(INDEX(US_2_y,4)-INDEX(US_2_y,6))^2)</f>
        <v>80.63717380960223</v>
      </c>
      <c r="J19" s="9">
        <f>SQRT((INDEX(US_2_x,4)-INDEX(US_2_x,7))^2+(INDEX(US_2_y,4)-INDEX(US_2_y,7))^2)</f>
        <v>77.26785165901794</v>
      </c>
      <c r="K19" s="9">
        <f>SQRT((INDEX(US_2_x,4)-INDEX(US_2_x,8))^2+(INDEX(US_2_y,4)-INDEX(US_2_y,8))^2)</f>
        <v>68.7726871657637</v>
      </c>
      <c r="L19" s="9">
        <f>SQRT((INDEX(US_2_x,4)-INDEX(US_2_x,9))^2+(INDEX(US_2_y,4)-INDEX(US_2_y,9))^2)</f>
        <v>65.8034535567853</v>
      </c>
      <c r="M19" s="9">
        <f>SQRT((INDEX(US_2_x,4)-INDEX(US_2_x,10))^2+(INDEX(US_2_y,4)-INDEX(US_2_y,10))^2)</f>
        <v>14.017078868294918</v>
      </c>
      <c r="N19" s="9">
        <f>SQRT((INDEX(US_2_x,4)-INDEX(US_2_x,11))^2+(INDEX(US_2_y,4)-INDEX(US_2_y,11))^2)</f>
        <v>53.656047189482756</v>
      </c>
      <c r="O19" s="9">
        <f>SQRT((INDEX(US_2_x,4)-INDEX(US_2_x,12))^2+(INDEX(US_2_y,4)-INDEX(US_2_y,12))^2)</f>
        <v>59.4598755464557</v>
      </c>
      <c r="P19" s="9">
        <f>SQRT((INDEX(US_2_x,4)-INDEX(US_2_x,13))^2+(INDEX(US_2_y,4)-INDEX(US_2_y,13))^2)</f>
        <v>46.789864287044054</v>
      </c>
      <c r="Q19" s="9">
        <f>SQRT((INDEX(US_2_x,4)-INDEX(US_2_x,14))^2+(INDEX(US_2_y,4)-INDEX(US_2_y,14))^2)</f>
        <v>43.77003198536642</v>
      </c>
      <c r="R19" s="9">
        <f>SQRT((INDEX(US_2_x,4)-INDEX(US_2_x,15))^2+(INDEX(US_2_y,4)-INDEX(US_2_y,15))^2)</f>
        <v>62.2477951416755</v>
      </c>
      <c r="S19" s="9">
        <f>SQRT((INDEX(US_2_x,4)-INDEX(US_2_x,16))^2+(INDEX(US_2_y,4)-INDEX(US_2_y,16))^2)</f>
        <v>57.08591770305528</v>
      </c>
      <c r="T19" s="9">
        <f>SQRT((INDEX(US_2_x,4)-INDEX(US_2_x,17))^2+(INDEX(US_2_y,4)-INDEX(US_2_y,17))^2)</f>
        <v>84.16991683493575</v>
      </c>
      <c r="U19" s="9">
        <f>SQRT((INDEX(US_2_x,4)-INDEX(US_2_x,18))^2+(INDEX(US_2_y,4)-INDEX(US_2_y,18))^2)</f>
        <v>75.7725029281731</v>
      </c>
      <c r="V19" s="9">
        <f>SQRT((INDEX(US_2_x,4)-INDEX(US_2_x,19))^2+(INDEX(US_2_y,4)-INDEX(US_2_y,19))^2)</f>
        <v>82.95389382060372</v>
      </c>
      <c r="W19" s="9">
        <f>SQRT((INDEX(US_2_x,4)-INDEX(US_2_x,20))^2+(INDEX(US_2_y,4)-INDEX(US_2_y,20))^2)</f>
        <v>61.3493284396822</v>
      </c>
      <c r="X19" s="9">
        <f>SQRT((INDEX(US_2_x,4)-INDEX(US_2_x,21))^2+(INDEX(US_2_y,4)-INDEX(US_2_y,21))^2)</f>
        <v>48.01406877155903</v>
      </c>
      <c r="Y19" s="9">
        <f>SQRT((INDEX(US_2_x,4)-INDEX(US_2_x,22))^2+(INDEX(US_2_y,4)-INDEX(US_2_y,22))^2)</f>
        <v>57.063439258425355</v>
      </c>
      <c r="Z19" s="9">
        <f>SQRT((INDEX(US_2_x,4)-INDEX(US_2_x,23))^2+(INDEX(US_2_y,4)-INDEX(US_2_y,23))^2)</f>
        <v>49.81875650796596</v>
      </c>
      <c r="AA19" s="9">
        <f>SQRT((INDEX(US_2_x,4)-INDEX(US_2_x,24))^2+(INDEX(US_2_y,4)-INDEX(US_2_y,24))^2)</f>
        <v>23.218199757948504</v>
      </c>
      <c r="AB19" s="9">
        <f>SQRT((INDEX(US_2_x,4)-INDEX(US_2_x,25))^2+(INDEX(US_2_y,4)-INDEX(US_2_y,25))^2)</f>
        <v>41.77343294487538</v>
      </c>
      <c r="AC19" s="9">
        <f>SQRT((INDEX(US_2_x,4)-INDEX(US_2_x,26))^2+(INDEX(US_2_y,4)-INDEX(US_2_y,26))^2)</f>
        <v>3.19845275094068</v>
      </c>
      <c r="AD19" s="9">
        <f>SQRT((INDEX(US_2_x,4)-INDEX(US_2_x,27))^2+(INDEX(US_2_y,4)-INDEX(US_2_y,27))^2)</f>
        <v>81.85609323685073</v>
      </c>
      <c r="AE19" s="9">
        <f>SQRT((INDEX(US_2_x,4)-INDEX(US_2_x,28))^2+(INDEX(US_2_y,4)-INDEX(US_2_y,28))^2)</f>
        <v>77.99948717780136</v>
      </c>
      <c r="AF19" s="9">
        <f>SQRT((INDEX(US_2_x,4)-INDEX(US_2_x,29))^2+(INDEX(US_2_y,4)-INDEX(US_2_y,29))^2)</f>
        <v>27.773010279766215</v>
      </c>
      <c r="AG19" s="9">
        <f>SQRT((INDEX(US_2_x,4)-INDEX(US_2_x,30))^2+(INDEX(US_2_y,4)-INDEX(US_2_y,30))^2)</f>
        <v>78.5802939673809</v>
      </c>
      <c r="AH19" s="9">
        <f>SQRT((INDEX(US_2_x,4)-INDEX(US_2_x,31))^2+(INDEX(US_2_y,4)-INDEX(US_2_y,31))^2)</f>
        <v>74.07991360686107</v>
      </c>
      <c r="AI19" s="9">
        <f>SQRT((INDEX(US_2_x,4)-INDEX(US_2_x,32))^2+(INDEX(US_2_y,4)-INDEX(US_2_y,32))^2)</f>
        <v>37.62928646679339</v>
      </c>
      <c r="AJ19" s="9">
        <f>SQRT((INDEX(US_2_x,4)-INDEX(US_2_x,33))^2+(INDEX(US_2_y,4)-INDEX(US_2_y,33))^2)</f>
        <v>64.60561043748446</v>
      </c>
      <c r="AK19" s="9">
        <f>SQRT((INDEX(US_2_x,4)-INDEX(US_2_x,34))^2+(INDEX(US_2_y,4)-INDEX(US_2_y,34))^2)</f>
        <v>42.22120083559917</v>
      </c>
      <c r="AL19" s="20">
        <f>SQRT((INDEX(US_2_x,4)-INDEX(US_2_x,35))^2+(INDEX(US_2_y,4)-INDEX(US_2_y,35))^2)</f>
        <v>14.26011570780546</v>
      </c>
      <c r="AM19" s="9">
        <f>SQRT((INDEX(US_2_x,4)-INDEX(US_2_x,36))^2+(INDEX(US_2_y,4)-INDEX(US_2_y,36))^2)</f>
        <v>74.50721642901445</v>
      </c>
      <c r="AN19" s="9">
        <f>SQRT((INDEX(US_2_x,4)-INDEX(US_2_x,37))^2+(INDEX(US_2_y,4)-INDEX(US_2_y,37))^2)</f>
        <v>82.62979910419728</v>
      </c>
      <c r="AO19" s="9">
        <f>SQRT((INDEX(US_2_x,4)-INDEX(US_2_x,38))^2+(INDEX(US_2_y,4)-INDEX(US_2_y,38))^2)</f>
        <v>71.30391994834505</v>
      </c>
      <c r="AP19" s="9">
        <f>SQRT((INDEX(US_2_x,4)-INDEX(US_2_x,39))^2+(INDEX(US_2_y,4)-INDEX(US_2_y,39))^2)</f>
        <v>36.68382886232025</v>
      </c>
      <c r="AQ19" s="9">
        <f>SQRT((INDEX(US_2_x,4)-INDEX(US_2_x,40))^2+(INDEX(US_2_y,4)-INDEX(US_2_y,40))^2)</f>
        <v>60.109347026897574</v>
      </c>
      <c r="AR19" s="9">
        <f>SQRT((INDEX(US_2_x,4)-INDEX(US_2_x,41))^2+(INDEX(US_2_y,4)-INDEX(US_2_y,41))^2)</f>
        <v>46.37289833512674</v>
      </c>
      <c r="AS19" s="9">
        <f>SQRT((INDEX(US_2_x,4)-INDEX(US_2_x,42))^2+(INDEX(US_2_y,4)-INDEX(US_2_y,42))^2)</f>
        <v>16.808358039975232</v>
      </c>
      <c r="AT19" s="9">
        <f>SQRT((INDEX(US_2_x,4)-INDEX(US_2_x,43))^2+(INDEX(US_2_y,4)-INDEX(US_2_y,43))^2)</f>
        <v>79.86739322151436</v>
      </c>
      <c r="AU19" s="9">
        <f>SQRT((INDEX(US_2_x,4)-INDEX(US_2_x,44))^2+(INDEX(US_2_y,4)-INDEX(US_2_y,44))^2)</f>
        <v>75.01604361734894</v>
      </c>
      <c r="AV19" s="9">
        <f>SQRT((INDEX(US_2_x,4)-INDEX(US_2_x,45))^2+(INDEX(US_2_y,4)-INDEX(US_2_y,45))^2)</f>
        <v>18.761945528116215</v>
      </c>
      <c r="AW19" s="9">
        <f>SQRT((INDEX(US_2_x,4)-INDEX(US_2_x,46))^2+(INDEX(US_2_y,4)-INDEX(US_2_y,46))^2)</f>
        <v>67.57805856933149</v>
      </c>
      <c r="AX19" s="9">
        <f>SQRT((INDEX(US_2_x,4)-INDEX(US_2_x,47))^2+(INDEX(US_2_y,4)-INDEX(US_2_y,47))^2)</f>
        <v>53.59901584917395</v>
      </c>
      <c r="AY19" s="9">
        <f>SQRT((INDEX(US_2_x,4)-INDEX(US_2_x,48))^2+(INDEX(US_2_y,4)-INDEX(US_2_y,48))^2)</f>
        <v>28.437800547862345</v>
      </c>
      <c r="AZ19" s="9" t="s">
        <v>30</v>
      </c>
      <c r="BA19" s="34">
        <v>4.01</v>
      </c>
      <c r="BB19" s="34">
        <v>8.41</v>
      </c>
      <c r="BD19" s="19">
        <v>4331</v>
      </c>
      <c r="BE19" s="19">
        <v>8</v>
      </c>
      <c r="BF19" s="19">
        <v>42</v>
      </c>
      <c r="BG19" s="19">
        <v>22</v>
      </c>
      <c r="BH19" s="19">
        <v>35</v>
      </c>
      <c r="BI19" s="19">
        <v>34</v>
      </c>
      <c r="BJ19" s="19">
        <v>30</v>
      </c>
      <c r="BK19" s="19">
        <v>43</v>
      </c>
      <c r="BL19" s="19">
        <v>9</v>
      </c>
      <c r="BM19" s="19">
        <v>38</v>
      </c>
      <c r="BN19" s="19">
        <v>24</v>
      </c>
      <c r="BO19" s="19">
        <v>12</v>
      </c>
      <c r="BP19" s="19">
        <v>15</v>
      </c>
      <c r="BQ19" s="19">
        <v>25</v>
      </c>
      <c r="BR19" s="19">
        <v>23</v>
      </c>
      <c r="BS19" s="19">
        <v>40</v>
      </c>
      <c r="BT19" s="19">
        <v>49</v>
      </c>
      <c r="BU19" s="19">
        <v>27</v>
      </c>
      <c r="BV19" s="19">
        <v>7</v>
      </c>
      <c r="BW19" s="19">
        <v>37</v>
      </c>
      <c r="BX19" s="19">
        <v>47</v>
      </c>
      <c r="BY19" s="19">
        <v>13</v>
      </c>
      <c r="BZ19" s="19">
        <v>16</v>
      </c>
      <c r="CA19" s="19">
        <v>11</v>
      </c>
      <c r="CB19" s="19">
        <v>32</v>
      </c>
      <c r="CC19" s="19">
        <v>14</v>
      </c>
      <c r="CD19" s="19">
        <v>4</v>
      </c>
      <c r="CE19" s="19">
        <v>19</v>
      </c>
      <c r="CF19" s="19">
        <v>36</v>
      </c>
      <c r="CG19" s="19">
        <v>2</v>
      </c>
      <c r="CH19" s="19">
        <v>28</v>
      </c>
      <c r="CI19" s="19">
        <v>44</v>
      </c>
      <c r="CJ19" s="19">
        <v>39</v>
      </c>
      <c r="CK19" s="19">
        <v>20</v>
      </c>
      <c r="CL19" s="19">
        <v>3</v>
      </c>
      <c r="CM19" s="19">
        <v>45</v>
      </c>
      <c r="CN19" s="19">
        <v>46</v>
      </c>
      <c r="CO19" s="19">
        <v>6</v>
      </c>
      <c r="CP19" s="19">
        <v>31</v>
      </c>
      <c r="CQ19" s="19">
        <v>48</v>
      </c>
      <c r="CR19" s="19">
        <v>41</v>
      </c>
      <c r="CS19" s="19">
        <v>29</v>
      </c>
      <c r="CT19" s="19">
        <v>26</v>
      </c>
      <c r="CU19" s="19">
        <v>17</v>
      </c>
      <c r="CV19" s="19">
        <v>18</v>
      </c>
      <c r="CW19" s="19">
        <v>10</v>
      </c>
      <c r="CX19" s="19">
        <v>33</v>
      </c>
      <c r="CY19" s="19">
        <v>21</v>
      </c>
      <c r="CZ19" s="19">
        <v>5</v>
      </c>
      <c r="DA19" s="19">
        <v>1</v>
      </c>
      <c r="DB19" s="19">
        <v>359.57811629772186</v>
      </c>
    </row>
    <row r="20" spans="3:106" ht="15" thickBot="1" thickTop="1">
      <c r="C20" s="4">
        <v>5</v>
      </c>
      <c r="D20" s="9">
        <f>SQRT((INDEX(US_2_x,5)-INDEX(US_2_x,1))^2+(INDEX(US_2_y,5)-INDEX(US_2_y,1))^2)</f>
        <v>36.569912496477215</v>
      </c>
      <c r="E20" s="9">
        <f>SQRT((INDEX(US_2_x,5)-INDEX(US_2_x,2))^2+(INDEX(US_2_y,5)-INDEX(US_2_y,2))^2)</f>
        <v>18.41400825458705</v>
      </c>
      <c r="F20" s="9">
        <f>SQRT((INDEX(US_2_x,5)-INDEX(US_2_x,3))^2+(INDEX(US_2_y,5)-INDEX(US_2_y,3))^2)</f>
        <v>24.578657408410248</v>
      </c>
      <c r="G20" s="9">
        <f>SQRT((INDEX(US_2_x,5)-INDEX(US_2_x,4))^2+(INDEX(US_2_y,5)-INDEX(US_2_y,4))^2)</f>
        <v>27.986728997866116</v>
      </c>
      <c r="H20" s="9" t="s">
        <v>30</v>
      </c>
      <c r="I20" s="9">
        <f>SQRT((INDEX(US_2_x,5)-INDEX(US_2_x,6))^2+(INDEX(US_2_y,5)-INDEX(US_2_y,6))^2)</f>
        <v>53.29472018877667</v>
      </c>
      <c r="J20" s="9">
        <f>SQRT((INDEX(US_2_x,5)-INDEX(US_2_x,7))^2+(INDEX(US_2_y,5)-INDEX(US_2_y,7))^2)</f>
        <v>49.45934188805994</v>
      </c>
      <c r="K20" s="9">
        <f>SQRT((INDEX(US_2_x,5)-INDEX(US_2_x,8))^2+(INDEX(US_2_y,5)-INDEX(US_2_y,8))^2)</f>
        <v>41.998648787788404</v>
      </c>
      <c r="L20" s="9">
        <f>SQRT((INDEX(US_2_x,5)-INDEX(US_2_x,9))^2+(INDEX(US_2_y,5)-INDEX(US_2_y,9))^2)</f>
        <v>38.23602620566107</v>
      </c>
      <c r="M20" s="9">
        <f>SQRT((INDEX(US_2_x,5)-INDEX(US_2_x,10))^2+(INDEX(US_2_y,5)-INDEX(US_2_y,10))^2)</f>
        <v>20.111998906125667</v>
      </c>
      <c r="N20" s="9">
        <f>SQRT((INDEX(US_2_x,5)-INDEX(US_2_x,11))^2+(INDEX(US_2_y,5)-INDEX(US_2_y,11))^2)</f>
        <v>25.72632892583005</v>
      </c>
      <c r="O20" s="9">
        <f>SQRT((INDEX(US_2_x,5)-INDEX(US_2_x,12))^2+(INDEX(US_2_y,5)-INDEX(US_2_y,12))^2)</f>
        <v>31.56119452745729</v>
      </c>
      <c r="P20" s="9">
        <f>SQRT((INDEX(US_2_x,5)-INDEX(US_2_x,13))^2+(INDEX(US_2_y,5)-INDEX(US_2_y,13))^2)</f>
        <v>19.23090221492481</v>
      </c>
      <c r="Q20" s="9">
        <f>SQRT((INDEX(US_2_x,5)-INDEX(US_2_x,14))^2+(INDEX(US_2_y,5)-INDEX(US_2_y,14))^2)</f>
        <v>15.791709850424683</v>
      </c>
      <c r="R20" s="9">
        <f>SQRT((INDEX(US_2_x,5)-INDEX(US_2_x,15))^2+(INDEX(US_2_y,5)-INDEX(US_2_y,15))^2)</f>
        <v>34.263312741181345</v>
      </c>
      <c r="S20" s="9">
        <f>SQRT((INDEX(US_2_x,5)-INDEX(US_2_x,16))^2+(INDEX(US_2_y,5)-INDEX(US_2_y,16))^2)</f>
        <v>31.782463718220463</v>
      </c>
      <c r="T20" s="9">
        <f>SQRT((INDEX(US_2_x,5)-INDEX(US_2_x,17))^2+(INDEX(US_2_y,5)-INDEX(US_2_y,17))^2)</f>
        <v>57.483424567435094</v>
      </c>
      <c r="U20" s="9">
        <f>SQRT((INDEX(US_2_x,5)-INDEX(US_2_x,18))^2+(INDEX(US_2_y,5)-INDEX(US_2_y,18))^2)</f>
        <v>47.92840076614282</v>
      </c>
      <c r="V20" s="9">
        <f>SQRT((INDEX(US_2_x,5)-INDEX(US_2_x,19))^2+(INDEX(US_2_y,5)-INDEX(US_2_y,19))^2)</f>
        <v>55.769831450345976</v>
      </c>
      <c r="W20" s="9">
        <f>SQRT((INDEX(US_2_x,5)-INDEX(US_2_x,20))^2+(INDEX(US_2_y,5)-INDEX(US_2_y,20))^2)</f>
        <v>34.08227251812883</v>
      </c>
      <c r="X20" s="9">
        <f>SQRT((INDEX(US_2_x,5)-INDEX(US_2_x,21))^2+(INDEX(US_2_y,5)-INDEX(US_2_y,21))^2)</f>
        <v>22.222569608395872</v>
      </c>
      <c r="Y20" s="9">
        <f>SQRT((INDEX(US_2_x,5)-INDEX(US_2_x,22))^2+(INDEX(US_2_y,5)-INDEX(US_2_y,22))^2)</f>
        <v>30.658631737244896</v>
      </c>
      <c r="Z20" s="9">
        <f>SQRT((INDEX(US_2_x,5)-INDEX(US_2_x,23))^2+(INDEX(US_2_y,5)-INDEX(US_2_y,23))^2)</f>
        <v>21.84292333915037</v>
      </c>
      <c r="AA20" s="9">
        <f>SQRT((INDEX(US_2_x,5)-INDEX(US_2_x,24))^2+(INDEX(US_2_y,5)-INDEX(US_2_y,24))^2)</f>
        <v>18.592541515349644</v>
      </c>
      <c r="AB20" s="9">
        <f>SQRT((INDEX(US_2_x,5)-INDEX(US_2_x,25))^2+(INDEX(US_2_y,5)-INDEX(US_2_y,25))^2)</f>
        <v>14.001103527936646</v>
      </c>
      <c r="AC20" s="9">
        <f>SQRT((INDEX(US_2_x,5)-INDEX(US_2_x,26))^2+(INDEX(US_2_y,5)-INDEX(US_2_y,26))^2)</f>
        <v>24.90119073458135</v>
      </c>
      <c r="AD20" s="9">
        <f>SQRT((INDEX(US_2_x,5)-INDEX(US_2_x,27))^2+(INDEX(US_2_y,5)-INDEX(US_2_y,27))^2)</f>
        <v>54.8528522503616</v>
      </c>
      <c r="AE20" s="9">
        <f>SQRT((INDEX(US_2_x,5)-INDEX(US_2_x,28))^2+(INDEX(US_2_y,5)-INDEX(US_2_y,28))^2)</f>
        <v>50.34307300910424</v>
      </c>
      <c r="AF20" s="9">
        <f>SQRT((INDEX(US_2_x,5)-INDEX(US_2_x,29))^2+(INDEX(US_2_y,5)-INDEX(US_2_y,29))^2)</f>
        <v>8.930671867222536</v>
      </c>
      <c r="AG20" s="9">
        <f>SQRT((INDEX(US_2_x,5)-INDEX(US_2_x,30))^2+(INDEX(US_2_y,5)-INDEX(US_2_y,30))^2)</f>
        <v>51.404225507247936</v>
      </c>
      <c r="AH20" s="9">
        <f>SQRT((INDEX(US_2_x,5)-INDEX(US_2_x,31))^2+(INDEX(US_2_y,5)-INDEX(US_2_y,31))^2)</f>
        <v>46.105333747843105</v>
      </c>
      <c r="AI20" s="9">
        <f>SQRT((INDEX(US_2_x,5)-INDEX(US_2_x,32))^2+(INDEX(US_2_y,5)-INDEX(US_2_y,32))^2)</f>
        <v>16.689787296427713</v>
      </c>
      <c r="AJ20" s="9">
        <f>SQRT((INDEX(US_2_x,5)-INDEX(US_2_x,33))^2+(INDEX(US_2_y,5)-INDEX(US_2_y,33))^2)</f>
        <v>36.769793309182475</v>
      </c>
      <c r="AK20" s="20">
        <f>SQRT((INDEX(US_2_x,5)-INDEX(US_2_x,34))^2+(INDEX(US_2_y,5)-INDEX(US_2_y,34))^2)</f>
        <v>15.898402435465016</v>
      </c>
      <c r="AL20" s="9">
        <f>SQRT((INDEX(US_2_x,5)-INDEX(US_2_x,35))^2+(INDEX(US_2_y,5)-INDEX(US_2_y,35))^2)</f>
        <v>31.12019440813312</v>
      </c>
      <c r="AM20" s="9">
        <f>SQRT((INDEX(US_2_x,5)-INDEX(US_2_x,36))^2+(INDEX(US_2_y,5)-INDEX(US_2_y,36))^2)</f>
        <v>46.81215760889472</v>
      </c>
      <c r="AN20" s="9">
        <f>SQRT((INDEX(US_2_x,5)-INDEX(US_2_x,37))^2+(INDEX(US_2_y,5)-INDEX(US_2_y,37))^2)</f>
        <v>55.327028656887045</v>
      </c>
      <c r="AO20" s="9">
        <f>SQRT((INDEX(US_2_x,5)-INDEX(US_2_x,38))^2+(INDEX(US_2_y,5)-INDEX(US_2_y,38))^2)</f>
        <v>43.515629376121865</v>
      </c>
      <c r="AP20" s="9">
        <f>SQRT((INDEX(US_2_x,5)-INDEX(US_2_x,39))^2+(INDEX(US_2_y,5)-INDEX(US_2_y,39))^2)</f>
        <v>12.513308914911356</v>
      </c>
      <c r="AQ20" s="9">
        <f>SQRT((INDEX(US_2_x,5)-INDEX(US_2_x,40))^2+(INDEX(US_2_y,5)-INDEX(US_2_y,40))^2)</f>
        <v>32.26577443669995</v>
      </c>
      <c r="AR20" s="9">
        <f>SQRT((INDEX(US_2_x,5)-INDEX(US_2_x,41))^2+(INDEX(US_2_y,5)-INDEX(US_2_y,41))^2)</f>
        <v>24.25577250882767</v>
      </c>
      <c r="AS20" s="9">
        <f>SQRT((INDEX(US_2_x,5)-INDEX(US_2_x,42))^2+(INDEX(US_2_y,5)-INDEX(US_2_y,42))^2)</f>
        <v>11.684096028362656</v>
      </c>
      <c r="AT20" s="9">
        <f>SQRT((INDEX(US_2_x,5)-INDEX(US_2_x,43))^2+(INDEX(US_2_y,5)-INDEX(US_2_y,43))^2)</f>
        <v>53.12083301304677</v>
      </c>
      <c r="AU20" s="9">
        <f>SQRT((INDEX(US_2_x,5)-INDEX(US_2_x,44))^2+(INDEX(US_2_y,5)-INDEX(US_2_y,44))^2)</f>
        <v>47.055662783558795</v>
      </c>
      <c r="AV20" s="9">
        <f>SQRT((INDEX(US_2_x,5)-INDEX(US_2_x,45))^2+(INDEX(US_2_y,5)-INDEX(US_2_y,45))^2)</f>
        <v>32.40711033091349</v>
      </c>
      <c r="AW20" s="9">
        <f>SQRT((INDEX(US_2_x,5)-INDEX(US_2_x,46))^2+(INDEX(US_2_y,5)-INDEX(US_2_y,46))^2)</f>
        <v>39.61745322455747</v>
      </c>
      <c r="AX20" s="9">
        <f>SQRT((INDEX(US_2_x,5)-INDEX(US_2_x,47))^2+(INDEX(US_2_y,5)-INDEX(US_2_y,47))^2)</f>
        <v>26.509630325600543</v>
      </c>
      <c r="AY20" s="9">
        <f>SQRT((INDEX(US_2_x,5)-INDEX(US_2_x,48))^2+(INDEX(US_2_y,5)-INDEX(US_2_y,48))^2)</f>
        <v>3.0378446306550972</v>
      </c>
      <c r="AZ20" s="9" t="s">
        <v>30</v>
      </c>
      <c r="BA20" s="34">
        <v>30.82</v>
      </c>
      <c r="BB20" s="34">
        <v>16.44</v>
      </c>
      <c r="BD20" s="19">
        <v>4329</v>
      </c>
      <c r="BE20" s="19">
        <v>9</v>
      </c>
      <c r="BF20" s="19">
        <v>42</v>
      </c>
      <c r="BG20" s="19">
        <v>22</v>
      </c>
      <c r="BH20" s="19">
        <v>35</v>
      </c>
      <c r="BI20" s="19">
        <v>34</v>
      </c>
      <c r="BJ20" s="19">
        <v>30</v>
      </c>
      <c r="BK20" s="19">
        <v>43</v>
      </c>
      <c r="BL20" s="19">
        <v>38</v>
      </c>
      <c r="BM20" s="19">
        <v>8</v>
      </c>
      <c r="BN20" s="19">
        <v>24</v>
      </c>
      <c r="BO20" s="19">
        <v>12</v>
      </c>
      <c r="BP20" s="19">
        <v>15</v>
      </c>
      <c r="BQ20" s="19">
        <v>25</v>
      </c>
      <c r="BR20" s="19">
        <v>23</v>
      </c>
      <c r="BS20" s="19">
        <v>40</v>
      </c>
      <c r="BT20" s="19">
        <v>49</v>
      </c>
      <c r="BU20" s="19">
        <v>27</v>
      </c>
      <c r="BV20" s="19">
        <v>7</v>
      </c>
      <c r="BW20" s="19">
        <v>37</v>
      </c>
      <c r="BX20" s="19">
        <v>47</v>
      </c>
      <c r="BY20" s="19">
        <v>13</v>
      </c>
      <c r="BZ20" s="19">
        <v>16</v>
      </c>
      <c r="CA20" s="19">
        <v>11</v>
      </c>
      <c r="CB20" s="19">
        <v>32</v>
      </c>
      <c r="CC20" s="19">
        <v>14</v>
      </c>
      <c r="CD20" s="19">
        <v>4</v>
      </c>
      <c r="CE20" s="19">
        <v>19</v>
      </c>
      <c r="CF20" s="19">
        <v>36</v>
      </c>
      <c r="CG20" s="19">
        <v>2</v>
      </c>
      <c r="CH20" s="19">
        <v>28</v>
      </c>
      <c r="CI20" s="19">
        <v>44</v>
      </c>
      <c r="CJ20" s="19">
        <v>39</v>
      </c>
      <c r="CK20" s="19">
        <v>20</v>
      </c>
      <c r="CL20" s="19">
        <v>3</v>
      </c>
      <c r="CM20" s="19">
        <v>45</v>
      </c>
      <c r="CN20" s="19">
        <v>46</v>
      </c>
      <c r="CO20" s="19">
        <v>6</v>
      </c>
      <c r="CP20" s="19">
        <v>31</v>
      </c>
      <c r="CQ20" s="19">
        <v>48</v>
      </c>
      <c r="CR20" s="19">
        <v>41</v>
      </c>
      <c r="CS20" s="19">
        <v>29</v>
      </c>
      <c r="CT20" s="19">
        <v>26</v>
      </c>
      <c r="CU20" s="19">
        <v>17</v>
      </c>
      <c r="CV20" s="19">
        <v>18</v>
      </c>
      <c r="CW20" s="19">
        <v>10</v>
      </c>
      <c r="CX20" s="19">
        <v>33</v>
      </c>
      <c r="CY20" s="19">
        <v>21</v>
      </c>
      <c r="CZ20" s="19">
        <v>5</v>
      </c>
      <c r="DA20" s="19">
        <v>1</v>
      </c>
      <c r="DB20" s="19">
        <v>362.3114846944809</v>
      </c>
    </row>
    <row r="21" spans="3:106" ht="15" thickBot="1" thickTop="1">
      <c r="C21" s="4">
        <v>6</v>
      </c>
      <c r="D21" s="9">
        <f>SQRT((INDEX(US_2_x,6)-INDEX(US_2_x,1))^2+(INDEX(US_2_y,6)-INDEX(US_2_y,1))^2)</f>
        <v>31.295208898487957</v>
      </c>
      <c r="E21" s="9">
        <f>SQRT((INDEX(US_2_x,6)-INDEX(US_2_x,2))^2+(INDEX(US_2_y,6)-INDEX(US_2_y,2))^2)</f>
        <v>69.76770671306318</v>
      </c>
      <c r="F21" s="9">
        <f>SQRT((INDEX(US_2_x,6)-INDEX(US_2_x,3))^2+(INDEX(US_2_y,6)-INDEX(US_2_y,3))^2)</f>
        <v>36.77395817694908</v>
      </c>
      <c r="G21" s="9">
        <f>SQRT((INDEX(US_2_x,6)-INDEX(US_2_x,4))^2+(INDEX(US_2_y,6)-INDEX(US_2_y,4))^2)</f>
        <v>80.63717380960223</v>
      </c>
      <c r="H21" s="9">
        <f>SQRT((INDEX(US_2_x,6)-INDEX(US_2_x,5))^2+(INDEX(US_2_y,6)-INDEX(US_2_y,5))^2)</f>
        <v>53.29472018877667</v>
      </c>
      <c r="I21" s="9" t="s">
        <v>30</v>
      </c>
      <c r="J21" s="9">
        <f>SQRT((INDEX(US_2_x,6)-INDEX(US_2_x,7))^2+(INDEX(US_2_y,6)-INDEX(US_2_y,7))^2)</f>
        <v>7.428250130414297</v>
      </c>
      <c r="K21" s="9">
        <f>SQRT((INDEX(US_2_x,6)-INDEX(US_2_x,8))^2+(INDEX(US_2_y,6)-INDEX(US_2_y,8))^2)</f>
        <v>32.083872895895844</v>
      </c>
      <c r="L21" s="9">
        <f>SQRT((INDEX(US_2_x,6)-INDEX(US_2_x,9))^2+(INDEX(US_2_y,6)-INDEX(US_2_y,9))^2)</f>
        <v>26.69162602765144</v>
      </c>
      <c r="M21" s="9">
        <f>SQRT((INDEX(US_2_x,6)-INDEX(US_2_x,10))^2+(INDEX(US_2_y,6)-INDEX(US_2_y,10))^2)</f>
        <v>69.28296832555601</v>
      </c>
      <c r="N21" s="9">
        <f>SQRT((INDEX(US_2_x,6)-INDEX(US_2_x,11))^2+(INDEX(US_2_y,6)-INDEX(US_2_y,11))^2)</f>
        <v>28.301067117690103</v>
      </c>
      <c r="O21" s="9">
        <f>SQRT((INDEX(US_2_x,6)-INDEX(US_2_x,12))^2+(INDEX(US_2_y,6)-INDEX(US_2_y,12))^2)</f>
        <v>22.656976850409674</v>
      </c>
      <c r="P21" s="9">
        <f>SQRT((INDEX(US_2_x,6)-INDEX(US_2_x,13))^2+(INDEX(US_2_y,6)-INDEX(US_2_y,13))^2)</f>
        <v>34.065026053123745</v>
      </c>
      <c r="Q21" s="9">
        <f>SQRT((INDEX(US_2_x,6)-INDEX(US_2_x,14))^2+(INDEX(US_2_y,6)-INDEX(US_2_y,14))^2)</f>
        <v>38.531733674985354</v>
      </c>
      <c r="R21" s="9">
        <f>SQRT((INDEX(US_2_x,6)-INDEX(US_2_x,15))^2+(INDEX(US_2_y,6)-INDEX(US_2_y,15))^2)</f>
        <v>21.773254235414605</v>
      </c>
      <c r="S21" s="9">
        <f>SQRT((INDEX(US_2_x,6)-INDEX(US_2_x,16))^2+(INDEX(US_2_y,6)-INDEX(US_2_y,16))^2)</f>
        <v>40.75478131458934</v>
      </c>
      <c r="T21" s="9">
        <f>SQRT((INDEX(US_2_x,6)-INDEX(US_2_x,17))^2+(INDEX(US_2_y,6)-INDEX(US_2_y,17))^2)</f>
        <v>7.2600619832064845</v>
      </c>
      <c r="U21" s="9">
        <f>SQRT((INDEX(US_2_x,6)-INDEX(US_2_x,18))^2+(INDEX(US_2_y,6)-INDEX(US_2_y,18))^2)</f>
        <v>8.801931606187358</v>
      </c>
      <c r="V21" s="9">
        <f>SQRT((INDEX(US_2_x,6)-INDEX(US_2_x,19))^2+(INDEX(US_2_y,6)-INDEX(US_2_y,19))^2)</f>
        <v>2.92576485726382</v>
      </c>
      <c r="W21" s="9">
        <f>SQRT((INDEX(US_2_x,6)-INDEX(US_2_x,20))^2+(INDEX(US_2_y,6)-INDEX(US_2_y,20))^2)</f>
        <v>19.29215643726745</v>
      </c>
      <c r="X21" s="9">
        <f>SQRT((INDEX(US_2_x,6)-INDEX(US_2_x,21))^2+(INDEX(US_2_y,6)-INDEX(US_2_y,21))^2)</f>
        <v>33.09312013092752</v>
      </c>
      <c r="Y21" s="9">
        <f>SQRT((INDEX(US_2_x,6)-INDEX(US_2_x,22))^2+(INDEX(US_2_y,6)-INDEX(US_2_y,22))^2)</f>
        <v>36.71532786180725</v>
      </c>
      <c r="Z21" s="9">
        <f>SQRT((INDEX(US_2_x,6)-INDEX(US_2_x,23))^2+(INDEX(US_2_y,6)-INDEX(US_2_y,23))^2)</f>
        <v>33.141299008940486</v>
      </c>
      <c r="AA21" s="9">
        <f>SQRT((INDEX(US_2_x,6)-INDEX(US_2_x,24))^2+(INDEX(US_2_y,6)-INDEX(US_2_y,24))^2)</f>
        <v>61.983728509988815</v>
      </c>
      <c r="AB21" s="9">
        <f>SQRT((INDEX(US_2_x,6)-INDEX(US_2_x,25))^2+(INDEX(US_2_y,6)-INDEX(US_2_y,25))^2)</f>
        <v>39.31805819213354</v>
      </c>
      <c r="AC21" s="9">
        <f>SQRT((INDEX(US_2_x,6)-INDEX(US_2_x,26))^2+(INDEX(US_2_y,6)-INDEX(US_2_y,26))^2)</f>
        <v>77.44855905696375</v>
      </c>
      <c r="AD21" s="9">
        <f>SQRT((INDEX(US_2_x,6)-INDEX(US_2_x,27))^2+(INDEX(US_2_y,6)-INDEX(US_2_y,27))^2)</f>
        <v>3.648698398059231</v>
      </c>
      <c r="AE21" s="20">
        <f>SQRT((INDEX(US_2_x,6)-INDEX(US_2_x,28))^2+(INDEX(US_2_y,6)-INDEX(US_2_y,28))^2)</f>
        <v>4.816824680222435</v>
      </c>
      <c r="AF21" s="9">
        <f>SQRT((INDEX(US_2_x,6)-INDEX(US_2_x,29))^2+(INDEX(US_2_y,6)-INDEX(US_2_y,29))^2)</f>
        <v>57.73955749743844</v>
      </c>
      <c r="AG21" s="9">
        <f>SQRT((INDEX(US_2_x,6)-INDEX(US_2_x,30))^2+(INDEX(US_2_y,6)-INDEX(US_2_y,30))^2)</f>
        <v>2.604611295375956</v>
      </c>
      <c r="AH21" s="9">
        <f>SQRT((INDEX(US_2_x,6)-INDEX(US_2_x,31))^2+(INDEX(US_2_y,6)-INDEX(US_2_y,31))^2)</f>
        <v>16.581972138439983</v>
      </c>
      <c r="AI21" s="9">
        <f>SQRT((INDEX(US_2_x,6)-INDEX(US_2_x,32))^2+(INDEX(US_2_y,6)-INDEX(US_2_y,32))^2)</f>
        <v>45.12779409632161</v>
      </c>
      <c r="AJ21" s="9">
        <f>SQRT((INDEX(US_2_x,6)-INDEX(US_2_x,33))^2+(INDEX(US_2_y,6)-INDEX(US_2_y,33))^2)</f>
        <v>17.459521757482356</v>
      </c>
      <c r="AK21" s="9">
        <f>SQRT((INDEX(US_2_x,6)-INDEX(US_2_x,34))^2+(INDEX(US_2_y,6)-INDEX(US_2_y,34))^2)</f>
        <v>44.30304729925471</v>
      </c>
      <c r="AL21" s="9">
        <f>SQRT((INDEX(US_2_x,6)-INDEX(US_2_x,35))^2+(INDEX(US_2_y,6)-INDEX(US_2_y,35))^2)</f>
        <v>79.09411419315599</v>
      </c>
      <c r="AM21" s="9">
        <f>SQRT((INDEX(US_2_x,6)-INDEX(US_2_x,36))^2+(INDEX(US_2_y,6)-INDEX(US_2_y,36))^2)</f>
        <v>7.685317169772497</v>
      </c>
      <c r="AN21" s="9">
        <f>SQRT((INDEX(US_2_x,6)-INDEX(US_2_x,37))^2+(INDEX(US_2_y,6)-INDEX(US_2_y,37))^2)</f>
        <v>2.061188977265314</v>
      </c>
      <c r="AO21" s="9">
        <f>SQRT((INDEX(US_2_x,6)-INDEX(US_2_x,38))^2+(INDEX(US_2_y,6)-INDEX(US_2_y,38))^2)</f>
        <v>22.245116317969657</v>
      </c>
      <c r="AP21" s="9">
        <f>SQRT((INDEX(US_2_x,6)-INDEX(US_2_x,39))^2+(INDEX(US_2_y,6)-INDEX(US_2_y,39))^2)</f>
        <v>44.34074537037012</v>
      </c>
      <c r="AQ21" s="9">
        <f>SQRT((INDEX(US_2_x,6)-INDEX(US_2_x,40))^2+(INDEX(US_2_y,6)-INDEX(US_2_y,40))^2)</f>
        <v>26.802794630411206</v>
      </c>
      <c r="AR21" s="9">
        <f>SQRT((INDEX(US_2_x,6)-INDEX(US_2_x,41))^2+(INDEX(US_2_y,6)-INDEX(US_2_y,41))^2)</f>
        <v>50.52252270027695</v>
      </c>
      <c r="AS21" s="9">
        <f>SQRT((INDEX(US_2_x,6)-INDEX(US_2_x,42))^2+(INDEX(US_2_y,6)-INDEX(US_2_y,42))^2)</f>
        <v>63.83195516353859</v>
      </c>
      <c r="AT21" s="9">
        <f>SQRT((INDEX(US_2_x,6)-INDEX(US_2_x,43))^2+(INDEX(US_2_y,6)-INDEX(US_2_y,43))^2)</f>
        <v>5.49604403184691</v>
      </c>
      <c r="AU21" s="9">
        <f>SQRT((INDEX(US_2_x,6)-INDEX(US_2_x,44))^2+(INDEX(US_2_y,6)-INDEX(US_2_y,44))^2)</f>
        <v>12.230134913401402</v>
      </c>
      <c r="AV21" s="9">
        <f>SQRT((INDEX(US_2_x,6)-INDEX(US_2_x,45))^2+(INDEX(US_2_y,6)-INDEX(US_2_y,45))^2)</f>
        <v>78.0417375511335</v>
      </c>
      <c r="AW21" s="9">
        <f>SQRT((INDEX(US_2_x,6)-INDEX(US_2_x,46))^2+(INDEX(US_2_y,6)-INDEX(US_2_y,46))^2)</f>
        <v>16.696784121500762</v>
      </c>
      <c r="AX21" s="9">
        <f>SQRT((INDEX(US_2_x,6)-INDEX(US_2_x,47))^2+(INDEX(US_2_y,6)-INDEX(US_2_y,47))^2)</f>
        <v>27.038729629921594</v>
      </c>
      <c r="AY21" s="9">
        <f>SQRT((INDEX(US_2_x,6)-INDEX(US_2_x,48))^2+(INDEX(US_2_y,6)-INDEX(US_2_y,48))^2)</f>
        <v>52.29959942485219</v>
      </c>
      <c r="AZ21" s="9" t="s">
        <v>30</v>
      </c>
      <c r="BA21" s="34">
        <v>76.08</v>
      </c>
      <c r="BB21" s="34">
        <v>44.58</v>
      </c>
      <c r="BD21" s="19">
        <v>4241</v>
      </c>
      <c r="BE21" s="19">
        <v>9</v>
      </c>
      <c r="BF21" s="19">
        <v>42</v>
      </c>
      <c r="BG21" s="19">
        <v>16</v>
      </c>
      <c r="BH21" s="19">
        <v>35</v>
      </c>
      <c r="BI21" s="19">
        <v>34</v>
      </c>
      <c r="BJ21" s="19">
        <v>30</v>
      </c>
      <c r="BK21" s="19">
        <v>43</v>
      </c>
      <c r="BL21" s="19">
        <v>38</v>
      </c>
      <c r="BM21" s="19">
        <v>8</v>
      </c>
      <c r="BN21" s="19">
        <v>24</v>
      </c>
      <c r="BO21" s="19">
        <v>12</v>
      </c>
      <c r="BP21" s="19">
        <v>15</v>
      </c>
      <c r="BQ21" s="19">
        <v>25</v>
      </c>
      <c r="BR21" s="19">
        <v>23</v>
      </c>
      <c r="BS21" s="19">
        <v>40</v>
      </c>
      <c r="BT21" s="19">
        <v>22</v>
      </c>
      <c r="BU21" s="19">
        <v>27</v>
      </c>
      <c r="BV21" s="19">
        <v>7</v>
      </c>
      <c r="BW21" s="19">
        <v>37</v>
      </c>
      <c r="BX21" s="19">
        <v>47</v>
      </c>
      <c r="BY21" s="19">
        <v>13</v>
      </c>
      <c r="BZ21" s="19">
        <v>49</v>
      </c>
      <c r="CA21" s="19">
        <v>11</v>
      </c>
      <c r="CB21" s="19">
        <v>32</v>
      </c>
      <c r="CC21" s="19">
        <v>14</v>
      </c>
      <c r="CD21" s="19">
        <v>4</v>
      </c>
      <c r="CE21" s="19">
        <v>19</v>
      </c>
      <c r="CF21" s="19">
        <v>36</v>
      </c>
      <c r="CG21" s="19">
        <v>2</v>
      </c>
      <c r="CH21" s="19">
        <v>28</v>
      </c>
      <c r="CI21" s="19">
        <v>44</v>
      </c>
      <c r="CJ21" s="19">
        <v>39</v>
      </c>
      <c r="CK21" s="19">
        <v>20</v>
      </c>
      <c r="CL21" s="19">
        <v>3</v>
      </c>
      <c r="CM21" s="19">
        <v>45</v>
      </c>
      <c r="CN21" s="19">
        <v>46</v>
      </c>
      <c r="CO21" s="19">
        <v>6</v>
      </c>
      <c r="CP21" s="19">
        <v>31</v>
      </c>
      <c r="CQ21" s="19">
        <v>48</v>
      </c>
      <c r="CR21" s="19">
        <v>41</v>
      </c>
      <c r="CS21" s="19">
        <v>29</v>
      </c>
      <c r="CT21" s="19">
        <v>26</v>
      </c>
      <c r="CU21" s="19">
        <v>17</v>
      </c>
      <c r="CV21" s="19">
        <v>18</v>
      </c>
      <c r="CW21" s="19">
        <v>10</v>
      </c>
      <c r="CX21" s="19">
        <v>33</v>
      </c>
      <c r="CY21" s="19">
        <v>21</v>
      </c>
      <c r="CZ21" s="19">
        <v>5</v>
      </c>
      <c r="DA21" s="19">
        <v>1</v>
      </c>
      <c r="DB21" s="19">
        <v>362.4581755399704</v>
      </c>
    </row>
    <row r="22" spans="3:106" ht="15" thickBot="1" thickTop="1">
      <c r="C22" s="4">
        <v>7</v>
      </c>
      <c r="D22" s="9">
        <f>SQRT((INDEX(US_2_x,7)-INDEX(US_2_x,1))^2+(INDEX(US_2_y,7)-INDEX(US_2_y,1))^2)</f>
        <v>24.135223222502</v>
      </c>
      <c r="E22" s="9">
        <f>SQRT((INDEX(US_2_x,7)-INDEX(US_2_x,2))^2+(INDEX(US_2_y,7)-INDEX(US_2_y,2))^2)</f>
        <v>65.0000276923018</v>
      </c>
      <c r="F22" s="9">
        <f>SQRT((INDEX(US_2_x,7)-INDEX(US_2_x,3))^2+(INDEX(US_2_y,7)-INDEX(US_2_y,3))^2)</f>
        <v>30.70360402298076</v>
      </c>
      <c r="G22" s="9">
        <f>SQRT((INDEX(US_2_x,7)-INDEX(US_2_x,4))^2+(INDEX(US_2_y,7)-INDEX(US_2_y,4))^2)</f>
        <v>77.26785165901794</v>
      </c>
      <c r="H22" s="9">
        <f>SQRT((INDEX(US_2_x,7)-INDEX(US_2_x,5))^2+(INDEX(US_2_y,7)-INDEX(US_2_y,5))^2)</f>
        <v>49.45934188805994</v>
      </c>
      <c r="I22" s="9">
        <f>SQRT((INDEX(US_2_x,7)-INDEX(US_2_x,6))^2+(INDEX(US_2_y,7)-INDEX(US_2_y,6))^2)</f>
        <v>7.428250130414297</v>
      </c>
      <c r="J22" s="9" t="s">
        <v>30</v>
      </c>
      <c r="K22" s="9">
        <f>SQRT((INDEX(US_2_x,7)-INDEX(US_2_x,8))^2+(INDEX(US_2_y,7)-INDEX(US_2_y,8))^2)</f>
        <v>24.672997385806205</v>
      </c>
      <c r="L22" s="9">
        <f>SQRT((INDEX(US_2_x,7)-INDEX(US_2_x,9))^2+(INDEX(US_2_y,7)-INDEX(US_2_y,9))^2)</f>
        <v>19.51457404095718</v>
      </c>
      <c r="M22" s="9">
        <f>SQRT((INDEX(US_2_x,7)-INDEX(US_2_x,10))^2+(INDEX(US_2_y,7)-INDEX(US_2_y,10))^2)</f>
        <v>66.72586455041252</v>
      </c>
      <c r="N22" s="9">
        <f>SQRT((INDEX(US_2_x,7)-INDEX(US_2_x,11))^2+(INDEX(US_2_y,7)-INDEX(US_2_y,11))^2)</f>
        <v>23.79732127782453</v>
      </c>
      <c r="O22" s="9">
        <f>SQRT((INDEX(US_2_x,7)-INDEX(US_2_x,12))^2+(INDEX(US_2_y,7)-INDEX(US_2_y,12))^2)</f>
        <v>17.94353644073542</v>
      </c>
      <c r="P22" s="9">
        <f>SQRT((INDEX(US_2_x,7)-INDEX(US_2_x,13))^2+(INDEX(US_2_y,7)-INDEX(US_2_y,13))^2)</f>
        <v>30.504840599485192</v>
      </c>
      <c r="Q22" s="9">
        <f>SQRT((INDEX(US_2_x,7)-INDEX(US_2_x,14))^2+(INDEX(US_2_y,7)-INDEX(US_2_y,14))^2)</f>
        <v>34.04890893993522</v>
      </c>
      <c r="R22" s="9">
        <f>SQRT((INDEX(US_2_x,7)-INDEX(US_2_x,15))^2+(INDEX(US_2_y,7)-INDEX(US_2_y,15))^2)</f>
        <v>16.03173415448248</v>
      </c>
      <c r="S22" s="9">
        <f>SQRT((INDEX(US_2_x,7)-INDEX(US_2_x,16))^2+(INDEX(US_2_y,7)-INDEX(US_2_y,16))^2)</f>
        <v>33.81325923362017</v>
      </c>
      <c r="T22" s="9">
        <f>SQRT((INDEX(US_2_x,7)-INDEX(US_2_x,17))^2+(INDEX(US_2_y,7)-INDEX(US_2_y,17))^2)</f>
        <v>14.684917432522397</v>
      </c>
      <c r="U22" s="20">
        <f>SQRT((INDEX(US_2_x,7)-INDEX(US_2_x,18))^2+(INDEX(US_2_y,7)-INDEX(US_2_y,18))^2)</f>
        <v>1.6791962362987818</v>
      </c>
      <c r="V22" s="9">
        <f>SQRT((INDEX(US_2_x,7)-INDEX(US_2_x,19))^2+(INDEX(US_2_y,7)-INDEX(US_2_y,19))^2)</f>
        <v>10.194753552685812</v>
      </c>
      <c r="W22" s="9">
        <f>SQRT((INDEX(US_2_x,7)-INDEX(US_2_x,20))^2+(INDEX(US_2_y,7)-INDEX(US_2_y,20))^2)</f>
        <v>16.801648728621846</v>
      </c>
      <c r="X22" s="9">
        <f>SQRT((INDEX(US_2_x,7)-INDEX(US_2_x,21))^2+(INDEX(US_2_y,7)-INDEX(US_2_y,21))^2)</f>
        <v>31.09422615213314</v>
      </c>
      <c r="Y22" s="9">
        <f>SQRT((INDEX(US_2_x,7)-INDEX(US_2_x,22))^2+(INDEX(US_2_y,7)-INDEX(US_2_y,22))^2)</f>
        <v>29.929951553585916</v>
      </c>
      <c r="Z22" s="9">
        <f>SQRT((INDEX(US_2_x,7)-INDEX(US_2_x,23))^2+(INDEX(US_2_y,7)-INDEX(US_2_y,23))^2)</f>
        <v>28.264875729427857</v>
      </c>
      <c r="AA22" s="9">
        <f>SQRT((INDEX(US_2_x,7)-INDEX(US_2_x,24))^2+(INDEX(US_2_y,7)-INDEX(US_2_y,24))^2)</f>
        <v>60.08847560056754</v>
      </c>
      <c r="AB22" s="9">
        <f>SQRT((INDEX(US_2_x,7)-INDEX(US_2_x,25))^2+(INDEX(US_2_y,7)-INDEX(US_2_y,25))^2)</f>
        <v>35.51055054487328</v>
      </c>
      <c r="AC22" s="9">
        <f>SQRT((INDEX(US_2_x,7)-INDEX(US_2_x,26))^2+(INDEX(US_2_y,7)-INDEX(US_2_y,26))^2)</f>
        <v>74.11241731316015</v>
      </c>
      <c r="AD22" s="9">
        <f>SQRT((INDEX(US_2_x,7)-INDEX(US_2_x,27))^2+(INDEX(US_2_y,7)-INDEX(US_2_y,27))^2)</f>
        <v>11.031468623895915</v>
      </c>
      <c r="AE22" s="9">
        <f>SQRT((INDEX(US_2_x,7)-INDEX(US_2_x,28))^2+(INDEX(US_2_y,7)-INDEX(US_2_y,28))^2)</f>
        <v>2.669250831225877</v>
      </c>
      <c r="AF22" s="9">
        <f>SQRT((INDEX(US_2_x,7)-INDEX(US_2_x,29))^2+(INDEX(US_2_y,7)-INDEX(US_2_y,29))^2)</f>
        <v>52.99661876006809</v>
      </c>
      <c r="AG22" s="9">
        <f>SQRT((INDEX(US_2_x,7)-INDEX(US_2_x,30))^2+(INDEX(US_2_y,7)-INDEX(US_2_y,30))^2)</f>
        <v>8.20329811722091</v>
      </c>
      <c r="AH22" s="9">
        <f>SQRT((INDEX(US_2_x,7)-INDEX(US_2_x,31))^2+(INDEX(US_2_y,7)-INDEX(US_2_y,31))^2)</f>
        <v>9.154283150525764</v>
      </c>
      <c r="AI22" s="9">
        <f>SQRT((INDEX(US_2_x,7)-INDEX(US_2_x,32))^2+(INDEX(US_2_y,7)-INDEX(US_2_y,32))^2)</f>
        <v>43.47471103986776</v>
      </c>
      <c r="AJ22" s="9">
        <f>SQRT((INDEX(US_2_x,7)-INDEX(US_2_x,33))^2+(INDEX(US_2_y,7)-INDEX(US_2_y,33))^2)</f>
        <v>12.690382184946202</v>
      </c>
      <c r="AK22" s="9">
        <f>SQRT((INDEX(US_2_x,7)-INDEX(US_2_x,34))^2+(INDEX(US_2_y,7)-INDEX(US_2_y,34))^2)</f>
        <v>38.899291767331704</v>
      </c>
      <c r="AL22" s="9">
        <f>SQRT((INDEX(US_2_x,7)-INDEX(US_2_x,35))^2+(INDEX(US_2_y,7)-INDEX(US_2_y,35))^2)</f>
        <v>76.97564549907977</v>
      </c>
      <c r="AM22" s="9">
        <f>SQRT((INDEX(US_2_x,7)-INDEX(US_2_x,36))^2+(INDEX(US_2_y,7)-INDEX(US_2_y,36))^2)</f>
        <v>3.3104984518951226</v>
      </c>
      <c r="AN22" s="9">
        <f>SQRT((INDEX(US_2_x,7)-INDEX(US_2_x,37))^2+(INDEX(US_2_y,7)-INDEX(US_2_y,37))^2)</f>
        <v>8.990895394786891</v>
      </c>
      <c r="AO22" s="9">
        <f>SQRT((INDEX(US_2_x,7)-INDEX(US_2_x,38))^2+(INDEX(US_2_y,7)-INDEX(US_2_y,38))^2)</f>
        <v>14.830863090191341</v>
      </c>
      <c r="AP22" s="9">
        <f>SQRT((INDEX(US_2_x,7)-INDEX(US_2_x,39))^2+(INDEX(US_2_y,7)-INDEX(US_2_y,39))^2)</f>
        <v>41.840996642049525</v>
      </c>
      <c r="AQ22" s="9">
        <f>SQRT((INDEX(US_2_x,7)-INDEX(US_2_x,40))^2+(INDEX(US_2_y,7)-INDEX(US_2_y,40))^2)</f>
        <v>20.481125457357074</v>
      </c>
      <c r="AR22" s="9">
        <f>SQRT((INDEX(US_2_x,7)-INDEX(US_2_x,41))^2+(INDEX(US_2_y,7)-INDEX(US_2_y,41))^2)</f>
        <v>44.14240591540067</v>
      </c>
      <c r="AS22" s="9">
        <f>SQRT((INDEX(US_2_x,7)-INDEX(US_2_x,42))^2+(INDEX(US_2_y,7)-INDEX(US_2_y,42))^2)</f>
        <v>60.507237583614746</v>
      </c>
      <c r="AT22" s="9">
        <f>SQRT((INDEX(US_2_x,7)-INDEX(US_2_x,43))^2+(INDEX(US_2_y,7)-INDEX(US_2_y,43))^2)</f>
        <v>12.187444358847353</v>
      </c>
      <c r="AU22" s="9">
        <f>SQRT((INDEX(US_2_x,7)-INDEX(US_2_x,44))^2+(INDEX(US_2_y,7)-INDEX(US_2_y,44))^2)</f>
        <v>4.812743500333252</v>
      </c>
      <c r="AV22" s="9">
        <f>SQRT((INDEX(US_2_x,7)-INDEX(US_2_x,45))^2+(INDEX(US_2_y,7)-INDEX(US_2_y,45))^2)</f>
        <v>76.34171140339993</v>
      </c>
      <c r="AW22" s="9">
        <f>SQRT((INDEX(US_2_x,7)-INDEX(US_2_x,46))^2+(INDEX(US_2_y,7)-INDEX(US_2_y,46))^2)</f>
        <v>10.533209387456424</v>
      </c>
      <c r="AX22" s="9">
        <f>SQRT((INDEX(US_2_x,7)-INDEX(US_2_x,47))^2+(INDEX(US_2_y,7)-INDEX(US_2_y,47))^2)</f>
        <v>24.31523802063225</v>
      </c>
      <c r="AY22" s="9">
        <f>SQRT((INDEX(US_2_x,7)-INDEX(US_2_x,48))^2+(INDEX(US_2_y,7)-INDEX(US_2_y,48))^2)</f>
        <v>48.83602768448719</v>
      </c>
      <c r="AZ22" s="9" t="s">
        <v>30</v>
      </c>
      <c r="BA22" s="34">
        <v>75.73</v>
      </c>
      <c r="BB22" s="34">
        <v>37.16</v>
      </c>
      <c r="BD22" s="19">
        <v>4228</v>
      </c>
      <c r="BE22" s="19">
        <v>9</v>
      </c>
      <c r="BF22" s="19">
        <v>42</v>
      </c>
      <c r="BG22" s="19">
        <v>16</v>
      </c>
      <c r="BH22" s="19">
        <v>26</v>
      </c>
      <c r="BI22" s="19">
        <v>34</v>
      </c>
      <c r="BJ22" s="19">
        <v>30</v>
      </c>
      <c r="BK22" s="19">
        <v>43</v>
      </c>
      <c r="BL22" s="19">
        <v>38</v>
      </c>
      <c r="BM22" s="19">
        <v>8</v>
      </c>
      <c r="BN22" s="19">
        <v>24</v>
      </c>
      <c r="BO22" s="19">
        <v>12</v>
      </c>
      <c r="BP22" s="19">
        <v>15</v>
      </c>
      <c r="BQ22" s="19">
        <v>25</v>
      </c>
      <c r="BR22" s="19">
        <v>23</v>
      </c>
      <c r="BS22" s="19">
        <v>40</v>
      </c>
      <c r="BT22" s="19">
        <v>22</v>
      </c>
      <c r="BU22" s="19">
        <v>27</v>
      </c>
      <c r="BV22" s="19">
        <v>7</v>
      </c>
      <c r="BW22" s="19">
        <v>37</v>
      </c>
      <c r="BX22" s="19">
        <v>47</v>
      </c>
      <c r="BY22" s="19">
        <v>13</v>
      </c>
      <c r="BZ22" s="19">
        <v>49</v>
      </c>
      <c r="CA22" s="19">
        <v>11</v>
      </c>
      <c r="CB22" s="19">
        <v>32</v>
      </c>
      <c r="CC22" s="19">
        <v>14</v>
      </c>
      <c r="CD22" s="19">
        <v>10</v>
      </c>
      <c r="CE22" s="19">
        <v>19</v>
      </c>
      <c r="CF22" s="19">
        <v>36</v>
      </c>
      <c r="CG22" s="19">
        <v>2</v>
      </c>
      <c r="CH22" s="19">
        <v>28</v>
      </c>
      <c r="CI22" s="19">
        <v>44</v>
      </c>
      <c r="CJ22" s="19">
        <v>39</v>
      </c>
      <c r="CK22" s="19">
        <v>20</v>
      </c>
      <c r="CL22" s="19">
        <v>3</v>
      </c>
      <c r="CM22" s="19">
        <v>4</v>
      </c>
      <c r="CN22" s="19">
        <v>46</v>
      </c>
      <c r="CO22" s="19">
        <v>6</v>
      </c>
      <c r="CP22" s="19">
        <v>31</v>
      </c>
      <c r="CQ22" s="19">
        <v>48</v>
      </c>
      <c r="CR22" s="19">
        <v>41</v>
      </c>
      <c r="CS22" s="19">
        <v>29</v>
      </c>
      <c r="CT22" s="19">
        <v>45</v>
      </c>
      <c r="CU22" s="19">
        <v>17</v>
      </c>
      <c r="CV22" s="19">
        <v>18</v>
      </c>
      <c r="CW22" s="19">
        <v>35</v>
      </c>
      <c r="CX22" s="19">
        <v>33</v>
      </c>
      <c r="CY22" s="19">
        <v>21</v>
      </c>
      <c r="CZ22" s="19">
        <v>5</v>
      </c>
      <c r="DA22" s="19">
        <v>1</v>
      </c>
      <c r="DB22" s="19">
        <v>369.50196158885956</v>
      </c>
    </row>
    <row r="23" spans="3:106" ht="15" thickBot="1" thickTop="1">
      <c r="C23" s="4">
        <v>8</v>
      </c>
      <c r="D23" s="20">
        <f>SQRT((INDEX(US_2_x,8)-INDEX(US_2_x,1))^2+(INDEX(US_2_y,8)-INDEX(US_2_y,1))^2)</f>
        <v>5.623041881401918</v>
      </c>
      <c r="E23" s="9">
        <f>SQRT((INDEX(US_2_x,8)-INDEX(US_2_x,2))^2+(INDEX(US_2_y,8)-INDEX(US_2_y,2))^2)</f>
        <v>51.868668770270176</v>
      </c>
      <c r="F23" s="9">
        <f>SQRT((INDEX(US_2_x,8)-INDEX(US_2_x,3))^2+(INDEX(US_2_y,8)-INDEX(US_2_y,3))^2)</f>
        <v>17.419991389205688</v>
      </c>
      <c r="G23" s="9">
        <f>SQRT((INDEX(US_2_x,8)-INDEX(US_2_x,4))^2+(INDEX(US_2_y,8)-INDEX(US_2_y,4))^2)</f>
        <v>68.7726871657637</v>
      </c>
      <c r="H23" s="9">
        <f>SQRT((INDEX(US_2_x,8)-INDEX(US_2_x,5))^2+(INDEX(US_2_y,8)-INDEX(US_2_y,5))^2)</f>
        <v>41.998648787788404</v>
      </c>
      <c r="I23" s="9">
        <f>SQRT((INDEX(US_2_x,8)-INDEX(US_2_x,6))^2+(INDEX(US_2_y,8)-INDEX(US_2_y,6))^2)</f>
        <v>32.083872895895844</v>
      </c>
      <c r="J23" s="9">
        <f>SQRT((INDEX(US_2_x,8)-INDEX(US_2_x,7))^2+(INDEX(US_2_y,8)-INDEX(US_2_y,7))^2)</f>
        <v>24.672997385806205</v>
      </c>
      <c r="K23" s="9" t="s">
        <v>30</v>
      </c>
      <c r="L23" s="9">
        <f>SQRT((INDEX(US_2_x,8)-INDEX(US_2_x,9))^2+(INDEX(US_2_y,8)-INDEX(US_2_y,9))^2)</f>
        <v>7.178983214912821</v>
      </c>
      <c r="M23" s="9">
        <f>SQRT((INDEX(US_2_x,8)-INDEX(US_2_x,10))^2+(INDEX(US_2_y,8)-INDEX(US_2_y,10))^2)</f>
        <v>62.02368096138765</v>
      </c>
      <c r="N23" s="9">
        <f>SQRT((INDEX(US_2_x,8)-INDEX(US_2_x,11))^2+(INDEX(US_2_y,8)-INDEX(US_2_y,11))^2)</f>
        <v>22.404135778913684</v>
      </c>
      <c r="O23" s="9">
        <f>SQRT((INDEX(US_2_x,8)-INDEX(US_2_x,12))^2+(INDEX(US_2_y,8)-INDEX(US_2_y,12))^2)</f>
        <v>20.504148360758613</v>
      </c>
      <c r="P23" s="9">
        <f>SQRT((INDEX(US_2_x,8)-INDEX(US_2_x,13))^2+(INDEX(US_2_y,8)-INDEX(US_2_y,13))^2)</f>
        <v>29.19814548905461</v>
      </c>
      <c r="Q23" s="9">
        <f>SQRT((INDEX(US_2_x,8)-INDEX(US_2_x,14))^2+(INDEX(US_2_y,8)-INDEX(US_2_y,14))^2)</f>
        <v>27.616476965753623</v>
      </c>
      <c r="R23" s="9">
        <f>SQRT((INDEX(US_2_x,8)-INDEX(US_2_x,15))^2+(INDEX(US_2_y,8)-INDEX(US_2_y,15))^2)</f>
        <v>16.866976611117952</v>
      </c>
      <c r="S23" s="9">
        <f>SQRT((INDEX(US_2_x,8)-INDEX(US_2_x,16))^2+(INDEX(US_2_y,8)-INDEX(US_2_y,16))^2)</f>
        <v>13.0375035953974</v>
      </c>
      <c r="T23" s="9">
        <f>SQRT((INDEX(US_2_x,8)-INDEX(US_2_x,17))^2+(INDEX(US_2_y,8)-INDEX(US_2_y,17))^2)</f>
        <v>39.312557790100605</v>
      </c>
      <c r="U23" s="9">
        <f>SQRT((INDEX(US_2_x,8)-INDEX(US_2_x,18))^2+(INDEX(US_2_y,8)-INDEX(US_2_y,18))^2)</f>
        <v>23.30341820420343</v>
      </c>
      <c r="V23" s="9">
        <f>SQRT((INDEX(US_2_x,8)-INDEX(US_2_x,19))^2+(INDEX(US_2_y,8)-INDEX(US_2_y,19))^2)</f>
        <v>34.864185061463864</v>
      </c>
      <c r="W23" s="9">
        <f>SQRT((INDEX(US_2_x,8)-INDEX(US_2_x,20))^2+(INDEX(US_2_y,8)-INDEX(US_2_y,20))^2)</f>
        <v>26.685340544950893</v>
      </c>
      <c r="X23" s="9">
        <f>SQRT((INDEX(US_2_x,8)-INDEX(US_2_x,21))^2+(INDEX(US_2_y,8)-INDEX(US_2_y,21))^2)</f>
        <v>34.862192988967294</v>
      </c>
      <c r="Y23" s="9">
        <f>SQRT((INDEX(US_2_x,8)-INDEX(US_2_x,22))^2+(INDEX(US_2_y,8)-INDEX(US_2_y,22))^2)</f>
        <v>11.746744229785552</v>
      </c>
      <c r="Z23" s="9">
        <f>SQRT((INDEX(US_2_x,8)-INDEX(US_2_x,23))^2+(INDEX(US_2_y,8)-INDEX(US_2_y,23))^2)</f>
        <v>22.59148512161164</v>
      </c>
      <c r="AA23" s="9">
        <f>SQRT((INDEX(US_2_x,8)-INDEX(US_2_x,24))^2+(INDEX(US_2_y,8)-INDEX(US_2_y,24))^2)</f>
        <v>58.39015756101366</v>
      </c>
      <c r="AB23" s="9">
        <f>SQRT((INDEX(US_2_x,8)-INDEX(US_2_x,25))^2+(INDEX(US_2_y,8)-INDEX(US_2_y,25))^2)</f>
        <v>31.40171969813119</v>
      </c>
      <c r="AC23" s="9">
        <f>SQRT((INDEX(US_2_x,8)-INDEX(US_2_x,26))^2+(INDEX(US_2_y,8)-INDEX(US_2_y,26))^2)</f>
        <v>65.95206137794331</v>
      </c>
      <c r="AD23" s="9">
        <f>SQRT((INDEX(US_2_x,8)-INDEX(US_2_x,27))^2+(INDEX(US_2_y,8)-INDEX(US_2_y,27))^2)</f>
        <v>35.628220556182704</v>
      </c>
      <c r="AE23" s="9">
        <f>SQRT((INDEX(US_2_x,8)-INDEX(US_2_x,28))^2+(INDEX(US_2_y,8)-INDEX(US_2_y,28))^2)</f>
        <v>27.27002933625118</v>
      </c>
      <c r="AF23" s="9">
        <f>SQRT((INDEX(US_2_x,8)-INDEX(US_2_x,29))^2+(INDEX(US_2_y,8)-INDEX(US_2_y,29))^2)</f>
        <v>41.19937863609111</v>
      </c>
      <c r="AG23" s="9">
        <f>SQRT((INDEX(US_2_x,8)-INDEX(US_2_x,30))^2+(INDEX(US_2_y,8)-INDEX(US_2_y,30))^2)</f>
        <v>32.3916856616015</v>
      </c>
      <c r="AH23" s="9">
        <f>SQRT((INDEX(US_2_x,8)-INDEX(US_2_x,31))^2+(INDEX(US_2_y,8)-INDEX(US_2_y,31))^2)</f>
        <v>15.583609979719078</v>
      </c>
      <c r="AI23" s="9">
        <f>SQRT((INDEX(US_2_x,8)-INDEX(US_2_x,32))^2+(INDEX(US_2_y,8)-INDEX(US_2_y,32))^2)</f>
        <v>45.066361068983596</v>
      </c>
      <c r="AJ23" s="9">
        <f>SQRT((INDEX(US_2_x,8)-INDEX(US_2_x,33))^2+(INDEX(US_2_y,8)-INDEX(US_2_y,33))^2)</f>
        <v>20.81572962929717</v>
      </c>
      <c r="AK23" s="9">
        <f>SQRT((INDEX(US_2_x,8)-INDEX(US_2_x,34))^2+(INDEX(US_2_y,8)-INDEX(US_2_y,34))^2)</f>
        <v>26.57921932638354</v>
      </c>
      <c r="AL23" s="9">
        <f>SQRT((INDEX(US_2_x,8)-INDEX(US_2_x,35))^2+(INDEX(US_2_y,8)-INDEX(US_2_y,35))^2)</f>
        <v>73.03784498463793</v>
      </c>
      <c r="AM23" s="9">
        <f>SQRT((INDEX(US_2_x,8)-INDEX(US_2_x,36))^2+(INDEX(US_2_y,8)-INDEX(US_2_y,36))^2)</f>
        <v>25.110575461346958</v>
      </c>
      <c r="AN23" s="9">
        <f>SQRT((INDEX(US_2_x,8)-INDEX(US_2_x,37))^2+(INDEX(US_2_y,8)-INDEX(US_2_y,37))^2)</f>
        <v>33.63917061997814</v>
      </c>
      <c r="AO23" s="9">
        <f>SQRT((INDEX(US_2_x,8)-INDEX(US_2_x,38))^2+(INDEX(US_2_y,8)-INDEX(US_2_y,38))^2)</f>
        <v>9.84228123963139</v>
      </c>
      <c r="AP23" s="9">
        <f>SQRT((INDEX(US_2_x,8)-INDEX(US_2_x,39))^2+(INDEX(US_2_y,8)-INDEX(US_2_y,39))^2)</f>
        <v>40.90560108347022</v>
      </c>
      <c r="AQ23" s="9">
        <f>SQRT((INDEX(US_2_x,8)-INDEX(US_2_x,40))^2+(INDEX(US_2_y,8)-INDEX(US_2_y,40))^2)</f>
        <v>13.189863532273566</v>
      </c>
      <c r="AR23" s="9">
        <f>SQRT((INDEX(US_2_x,8)-INDEX(US_2_x,41))^2+(INDEX(US_2_y,8)-INDEX(US_2_y,41))^2)</f>
        <v>25.437735748293324</v>
      </c>
      <c r="AS23" s="9">
        <f>SQRT((INDEX(US_2_x,8)-INDEX(US_2_x,42))^2+(INDEX(US_2_y,8)-INDEX(US_2_y,42))^2)</f>
        <v>53.574622723823275</v>
      </c>
      <c r="AT23" s="9">
        <f>SQRT((INDEX(US_2_x,8)-INDEX(US_2_x,43))^2+(INDEX(US_2_y,8)-INDEX(US_2_y,43))^2)</f>
        <v>36.310309830680325</v>
      </c>
      <c r="AU23" s="9">
        <f>SQRT((INDEX(US_2_x,8)-INDEX(US_2_x,44))^2+(INDEX(US_2_y,8)-INDEX(US_2_y,44))^2)</f>
        <v>19.860455684600996</v>
      </c>
      <c r="AV23" s="9">
        <f>SQRT((INDEX(US_2_x,8)-INDEX(US_2_x,45))^2+(INDEX(US_2_y,8)-INDEX(US_2_y,45))^2)</f>
        <v>73.9036460534932</v>
      </c>
      <c r="AW23" s="9">
        <f>SQRT((INDEX(US_2_x,8)-INDEX(US_2_x,46))^2+(INDEX(US_2_y,8)-INDEX(US_2_y,46))^2)</f>
        <v>17.84765810967927</v>
      </c>
      <c r="AX23" s="9">
        <f>SQRT((INDEX(US_2_x,8)-INDEX(US_2_x,47))^2+(INDEX(US_2_y,8)-INDEX(US_2_y,47))^2)</f>
        <v>28.7862814548875</v>
      </c>
      <c r="AY23" s="9">
        <f>SQRT((INDEX(US_2_x,8)-INDEX(US_2_x,48))^2+(INDEX(US_2_y,8)-INDEX(US_2_y,48))^2)</f>
        <v>42.952112870032366</v>
      </c>
      <c r="AZ23" s="9" t="s">
        <v>30</v>
      </c>
      <c r="BA23" s="34">
        <v>72.65</v>
      </c>
      <c r="BB23" s="34">
        <v>12.68</v>
      </c>
      <c r="BD23" s="19">
        <v>4227</v>
      </c>
      <c r="BE23" s="19">
        <v>9</v>
      </c>
      <c r="BF23" s="19">
        <v>26</v>
      </c>
      <c r="BG23" s="19">
        <v>16</v>
      </c>
      <c r="BH23" s="19">
        <v>35</v>
      </c>
      <c r="BI23" s="19">
        <v>34</v>
      </c>
      <c r="BJ23" s="19">
        <v>30</v>
      </c>
      <c r="BK23" s="19">
        <v>43</v>
      </c>
      <c r="BL23" s="19">
        <v>38</v>
      </c>
      <c r="BM23" s="19">
        <v>8</v>
      </c>
      <c r="BN23" s="19">
        <v>24</v>
      </c>
      <c r="BO23" s="19">
        <v>12</v>
      </c>
      <c r="BP23" s="19">
        <v>15</v>
      </c>
      <c r="BQ23" s="19">
        <v>25</v>
      </c>
      <c r="BR23" s="19">
        <v>23</v>
      </c>
      <c r="BS23" s="19">
        <v>40</v>
      </c>
      <c r="BT23" s="19">
        <v>22</v>
      </c>
      <c r="BU23" s="19">
        <v>27</v>
      </c>
      <c r="BV23" s="19">
        <v>7</v>
      </c>
      <c r="BW23" s="19">
        <v>37</v>
      </c>
      <c r="BX23" s="19">
        <v>47</v>
      </c>
      <c r="BY23" s="19">
        <v>13</v>
      </c>
      <c r="BZ23" s="19">
        <v>49</v>
      </c>
      <c r="CA23" s="19">
        <v>11</v>
      </c>
      <c r="CB23" s="19">
        <v>32</v>
      </c>
      <c r="CC23" s="19">
        <v>14</v>
      </c>
      <c r="CD23" s="19">
        <v>4</v>
      </c>
      <c r="CE23" s="19">
        <v>19</v>
      </c>
      <c r="CF23" s="19">
        <v>36</v>
      </c>
      <c r="CG23" s="19">
        <v>2</v>
      </c>
      <c r="CH23" s="19">
        <v>28</v>
      </c>
      <c r="CI23" s="19">
        <v>44</v>
      </c>
      <c r="CJ23" s="19">
        <v>39</v>
      </c>
      <c r="CK23" s="19">
        <v>20</v>
      </c>
      <c r="CL23" s="19">
        <v>3</v>
      </c>
      <c r="CM23" s="19">
        <v>45</v>
      </c>
      <c r="CN23" s="19">
        <v>46</v>
      </c>
      <c r="CO23" s="19">
        <v>6</v>
      </c>
      <c r="CP23" s="19">
        <v>31</v>
      </c>
      <c r="CQ23" s="19">
        <v>48</v>
      </c>
      <c r="CR23" s="19">
        <v>41</v>
      </c>
      <c r="CS23" s="19">
        <v>29</v>
      </c>
      <c r="CT23" s="19">
        <v>10</v>
      </c>
      <c r="CU23" s="19">
        <v>17</v>
      </c>
      <c r="CV23" s="19">
        <v>18</v>
      </c>
      <c r="CW23" s="19">
        <v>42</v>
      </c>
      <c r="CX23" s="19">
        <v>33</v>
      </c>
      <c r="CY23" s="19">
        <v>21</v>
      </c>
      <c r="CZ23" s="19">
        <v>5</v>
      </c>
      <c r="DA23" s="19">
        <v>1</v>
      </c>
      <c r="DB23" s="19">
        <v>370.1398676633835</v>
      </c>
    </row>
    <row r="24" spans="3:106" ht="15" thickBot="1" thickTop="1">
      <c r="C24" s="4">
        <v>9</v>
      </c>
      <c r="D24" s="9">
        <f>SQRT((INDEX(US_2_x,9)-INDEX(US_2_x,1))^2+(INDEX(US_2_y,9)-INDEX(US_2_y,1))^2)</f>
        <v>4.620822437618656</v>
      </c>
      <c r="E24" s="9">
        <f>SQRT((INDEX(US_2_x,9)-INDEX(US_2_x,2))^2+(INDEX(US_2_y,9)-INDEX(US_2_y,2))^2)</f>
        <v>50.27708225424384</v>
      </c>
      <c r="F24" s="9">
        <f>SQRT((INDEX(US_2_x,9)-INDEX(US_2_x,3))^2+(INDEX(US_2_y,9)-INDEX(US_2_y,3))^2)</f>
        <v>14.435875449725943</v>
      </c>
      <c r="G24" s="9">
        <f>SQRT((INDEX(US_2_x,9)-INDEX(US_2_x,4))^2+(INDEX(US_2_y,9)-INDEX(US_2_y,4))^2)</f>
        <v>65.8034535567853</v>
      </c>
      <c r="H24" s="9">
        <f>SQRT((INDEX(US_2_x,9)-INDEX(US_2_x,5))^2+(INDEX(US_2_y,9)-INDEX(US_2_y,5))^2)</f>
        <v>38.23602620566107</v>
      </c>
      <c r="I24" s="9">
        <f>SQRT((INDEX(US_2_x,9)-INDEX(US_2_x,6))^2+(INDEX(US_2_y,9)-INDEX(US_2_y,6))^2)</f>
        <v>26.69162602765144</v>
      </c>
      <c r="J24" s="9">
        <f>SQRT((INDEX(US_2_x,9)-INDEX(US_2_x,7))^2+(INDEX(US_2_y,9)-INDEX(US_2_y,7))^2)</f>
        <v>19.51457404095718</v>
      </c>
      <c r="K24" s="20">
        <f>SQRT((INDEX(US_2_x,9)-INDEX(US_2_x,8))^2+(INDEX(US_2_y,9)-INDEX(US_2_y,8))^2)</f>
        <v>7.178983214912821</v>
      </c>
      <c r="L24" s="9" t="s">
        <v>30</v>
      </c>
      <c r="M24" s="9">
        <f>SQRT((INDEX(US_2_x,9)-INDEX(US_2_x,10))^2+(INDEX(US_2_y,9)-INDEX(US_2_y,10))^2)</f>
        <v>57.88323764268893</v>
      </c>
      <c r="N24" s="9">
        <f>SQRT((INDEX(US_2_x,9)-INDEX(US_2_x,11))^2+(INDEX(US_2_y,9)-INDEX(US_2_y,11))^2)</f>
        <v>16.014808771883605</v>
      </c>
      <c r="O24" s="9">
        <f>SQRT((INDEX(US_2_x,9)-INDEX(US_2_x,12))^2+(INDEX(US_2_y,9)-INDEX(US_2_y,12))^2)</f>
        <v>13.42544226459598</v>
      </c>
      <c r="P24" s="9">
        <f>SQRT((INDEX(US_2_x,9)-INDEX(US_2_x,13))^2+(INDEX(US_2_y,9)-INDEX(US_2_y,13))^2)</f>
        <v>23.296748700194197</v>
      </c>
      <c r="Q24" s="9">
        <f>SQRT((INDEX(US_2_x,9)-INDEX(US_2_x,14))^2+(INDEX(US_2_y,9)-INDEX(US_2_y,14))^2)</f>
        <v>22.909159740156344</v>
      </c>
      <c r="R24" s="9">
        <f>SQRT((INDEX(US_2_x,9)-INDEX(US_2_x,15))^2+(INDEX(US_2_y,9)-INDEX(US_2_y,15))^2)</f>
        <v>9.697448117932883</v>
      </c>
      <c r="S24" s="9">
        <f>SQRT((INDEX(US_2_x,9)-INDEX(US_2_x,16))^2+(INDEX(US_2_y,9)-INDEX(US_2_y,16))^2)</f>
        <v>14.506333099718896</v>
      </c>
      <c r="T24" s="9">
        <f>SQRT((INDEX(US_2_x,9)-INDEX(US_2_x,17))^2+(INDEX(US_2_y,9)-INDEX(US_2_y,17))^2)</f>
        <v>33.75169625366998</v>
      </c>
      <c r="U24" s="9">
        <f>SQRT((INDEX(US_2_x,9)-INDEX(US_2_x,18))^2+(INDEX(US_2_y,9)-INDEX(US_2_y,18))^2)</f>
        <v>17.9586218847661</v>
      </c>
      <c r="V24" s="9">
        <f>SQRT((INDEX(US_2_x,9)-INDEX(US_2_x,19))^2+(INDEX(US_2_y,9)-INDEX(US_2_y,19))^2)</f>
        <v>29.580060851864378</v>
      </c>
      <c r="W24" s="9">
        <f>SQRT((INDEX(US_2_x,9)-INDEX(US_2_x,20))^2+(INDEX(US_2_y,9)-INDEX(US_2_y,20))^2)</f>
        <v>19.50635793786221</v>
      </c>
      <c r="X24" s="9">
        <f>SQRT((INDEX(US_2_x,9)-INDEX(US_2_x,21))^2+(INDEX(US_2_y,9)-INDEX(US_2_y,21))^2)</f>
        <v>28.345160080691027</v>
      </c>
      <c r="Y24" s="9">
        <f>SQRT((INDEX(US_2_x,9)-INDEX(US_2_x,22))^2+(INDEX(US_2_y,9)-INDEX(US_2_y,22))^2)</f>
        <v>11.11680709556481</v>
      </c>
      <c r="Z24" s="9">
        <f>SQRT((INDEX(US_2_x,9)-INDEX(US_2_x,23))^2+(INDEX(US_2_y,9)-INDEX(US_2_y,23))^2)</f>
        <v>17.247637519382184</v>
      </c>
      <c r="AA24" s="9">
        <f>SQRT((INDEX(US_2_x,9)-INDEX(US_2_x,24))^2+(INDEX(US_2_y,9)-INDEX(US_2_y,24))^2)</f>
        <v>53.45465461491637</v>
      </c>
      <c r="AB24" s="9">
        <f>SQRT((INDEX(US_2_x,9)-INDEX(US_2_x,25))^2+(INDEX(US_2_y,9)-INDEX(US_2_y,25))^2)</f>
        <v>26.27593956455221</v>
      </c>
      <c r="AC24" s="9">
        <f>SQRT((INDEX(US_2_x,9)-INDEX(US_2_x,26))^2+(INDEX(US_2_y,9)-INDEX(US_2_y,26))^2)</f>
        <v>62.84772867813125</v>
      </c>
      <c r="AD24" s="9">
        <f>SQRT((INDEX(US_2_x,9)-INDEX(US_2_x,27))^2+(INDEX(US_2_y,9)-INDEX(US_2_y,27))^2)</f>
        <v>30.066601071620976</v>
      </c>
      <c r="AE24" s="9">
        <f>SQRT((INDEX(US_2_x,9)-INDEX(US_2_x,28))^2+(INDEX(US_2_y,9)-INDEX(US_2_y,28))^2)</f>
        <v>21.92410773554992</v>
      </c>
      <c r="AF24" s="9">
        <f>SQRT((INDEX(US_2_x,9)-INDEX(US_2_x,29))^2+(INDEX(US_2_y,9)-INDEX(US_2_y,29))^2)</f>
        <v>38.88506397063017</v>
      </c>
      <c r="AG24" s="9">
        <f>SQRT((INDEX(US_2_x,9)-INDEX(US_2_x,30))^2+(INDEX(US_2_y,9)-INDEX(US_2_y,30))^2)</f>
        <v>26.600295111144913</v>
      </c>
      <c r="AH24" s="9">
        <f>SQRT((INDEX(US_2_x,9)-INDEX(US_2_x,31))^2+(INDEX(US_2_y,9)-INDEX(US_2_y,31))^2)</f>
        <v>11.21456642050864</v>
      </c>
      <c r="AI24" s="9">
        <f>SQRT((INDEX(US_2_x,9)-INDEX(US_2_x,32))^2+(INDEX(US_2_y,9)-INDEX(US_2_y,32))^2)</f>
        <v>39.192867973650515</v>
      </c>
      <c r="AJ24" s="9">
        <f>SQRT((INDEX(US_2_x,9)-INDEX(US_2_x,33))^2+(INDEX(US_2_y,9)-INDEX(US_2_y,33))^2)</f>
        <v>13.717609121126026</v>
      </c>
      <c r="AK24" s="9">
        <f>SQRT((INDEX(US_2_x,9)-INDEX(US_2_x,34))^2+(INDEX(US_2_y,9)-INDEX(US_2_y,34))^2)</f>
        <v>23.908301905405168</v>
      </c>
      <c r="AL24" s="9">
        <f>SQRT((INDEX(US_2_x,9)-INDEX(US_2_x,35))^2+(INDEX(US_2_y,9)-INDEX(US_2_y,35))^2)</f>
        <v>68.82963460603288</v>
      </c>
      <c r="AM24" s="9">
        <f>SQRT((INDEX(US_2_x,9)-INDEX(US_2_x,36))^2+(INDEX(US_2_y,9)-INDEX(US_2_y,36))^2)</f>
        <v>19.260674962212512</v>
      </c>
      <c r="AN24" s="9">
        <f>SQRT((INDEX(US_2_x,9)-INDEX(US_2_x,37))^2+(INDEX(US_2_y,9)-INDEX(US_2_y,37))^2)</f>
        <v>28.443972999565304</v>
      </c>
      <c r="AO24" s="9">
        <f>SQRT((INDEX(US_2_x,9)-INDEX(US_2_x,38))^2+(INDEX(US_2_y,9)-INDEX(US_2_y,38))^2)</f>
        <v>6.106693049433546</v>
      </c>
      <c r="AP24" s="9">
        <f>SQRT((INDEX(US_2_x,9)-INDEX(US_2_x,39))^2+(INDEX(US_2_y,9)-INDEX(US_2_y,39))^2)</f>
        <v>35.42108411666701</v>
      </c>
      <c r="AQ24" s="9">
        <f>SQRT((INDEX(US_2_x,9)-INDEX(US_2_x,40))^2+(INDEX(US_2_y,9)-INDEX(US_2_y,40))^2)</f>
        <v>6.750029629564602</v>
      </c>
      <c r="AR24" s="9">
        <f>SQRT((INDEX(US_2_x,9)-INDEX(US_2_x,41))^2+(INDEX(US_2_y,9)-INDEX(US_2_y,41))^2)</f>
        <v>25.893230775629373</v>
      </c>
      <c r="AS24" s="9">
        <f>SQRT((INDEX(US_2_x,9)-INDEX(US_2_x,42))^2+(INDEX(US_2_y,9)-INDEX(US_2_y,42))^2)</f>
        <v>49.92011618576224</v>
      </c>
      <c r="AT24" s="9">
        <f>SQRT((INDEX(US_2_x,9)-INDEX(US_2_x,43))^2+(INDEX(US_2_y,9)-INDEX(US_2_y,43))^2)</f>
        <v>30.38111255369033</v>
      </c>
      <c r="AU24" s="9">
        <f>SQRT((INDEX(US_2_x,9)-INDEX(US_2_x,44))^2+(INDEX(US_2_y,9)-INDEX(US_2_y,44))^2)</f>
        <v>14.854753447970786</v>
      </c>
      <c r="AV24" s="9">
        <f>SQRT((INDEX(US_2_x,9)-INDEX(US_2_x,45))^2+(INDEX(US_2_y,9)-INDEX(US_2_y,45))^2)</f>
        <v>69.3326943079526</v>
      </c>
      <c r="AW24" s="9">
        <f>SQRT((INDEX(US_2_x,9)-INDEX(US_2_x,46))^2+(INDEX(US_2_y,9)-INDEX(US_2_y,46))^2)</f>
        <v>11.117306328423265</v>
      </c>
      <c r="AX24" s="9">
        <f>SQRT((INDEX(US_2_x,9)-INDEX(US_2_x,47))^2+(INDEX(US_2_y,9)-INDEX(US_2_y,47))^2)</f>
        <v>21.953355096658914</v>
      </c>
      <c r="AY24" s="9">
        <f>SQRT((INDEX(US_2_x,9)-INDEX(US_2_x,48))^2+(INDEX(US_2_y,9)-INDEX(US_2_y,48))^2)</f>
        <v>38.754192031314496</v>
      </c>
      <c r="AZ24" s="9" t="s">
        <v>30</v>
      </c>
      <c r="BA24" s="34">
        <v>68.98</v>
      </c>
      <c r="BB24" s="34">
        <v>18.85</v>
      </c>
      <c r="BD24" s="19">
        <v>4205</v>
      </c>
      <c r="BE24" s="19">
        <v>9</v>
      </c>
      <c r="BF24" s="19">
        <v>45</v>
      </c>
      <c r="BG24" s="19">
        <v>16</v>
      </c>
      <c r="BH24" s="19">
        <v>26</v>
      </c>
      <c r="BI24" s="19">
        <v>34</v>
      </c>
      <c r="BJ24" s="19">
        <v>30</v>
      </c>
      <c r="BK24" s="19">
        <v>43</v>
      </c>
      <c r="BL24" s="19">
        <v>38</v>
      </c>
      <c r="BM24" s="19">
        <v>8</v>
      </c>
      <c r="BN24" s="19">
        <v>24</v>
      </c>
      <c r="BO24" s="19">
        <v>12</v>
      </c>
      <c r="BP24" s="19">
        <v>15</v>
      </c>
      <c r="BQ24" s="19">
        <v>25</v>
      </c>
      <c r="BR24" s="19">
        <v>23</v>
      </c>
      <c r="BS24" s="19">
        <v>40</v>
      </c>
      <c r="BT24" s="19">
        <v>22</v>
      </c>
      <c r="BU24" s="19">
        <v>27</v>
      </c>
      <c r="BV24" s="19">
        <v>7</v>
      </c>
      <c r="BW24" s="19">
        <v>37</v>
      </c>
      <c r="BX24" s="19">
        <v>47</v>
      </c>
      <c r="BY24" s="19">
        <v>13</v>
      </c>
      <c r="BZ24" s="19">
        <v>49</v>
      </c>
      <c r="CA24" s="19">
        <v>11</v>
      </c>
      <c r="CB24" s="19">
        <v>32</v>
      </c>
      <c r="CC24" s="19">
        <v>14</v>
      </c>
      <c r="CD24" s="19">
        <v>42</v>
      </c>
      <c r="CE24" s="19">
        <v>19</v>
      </c>
      <c r="CF24" s="19">
        <v>36</v>
      </c>
      <c r="CG24" s="19">
        <v>2</v>
      </c>
      <c r="CH24" s="19">
        <v>28</v>
      </c>
      <c r="CI24" s="19">
        <v>44</v>
      </c>
      <c r="CJ24" s="19">
        <v>39</v>
      </c>
      <c r="CK24" s="19">
        <v>20</v>
      </c>
      <c r="CL24" s="19">
        <v>3</v>
      </c>
      <c r="CM24" s="19">
        <v>4</v>
      </c>
      <c r="CN24" s="19">
        <v>46</v>
      </c>
      <c r="CO24" s="19">
        <v>6</v>
      </c>
      <c r="CP24" s="19">
        <v>31</v>
      </c>
      <c r="CQ24" s="19">
        <v>48</v>
      </c>
      <c r="CR24" s="19">
        <v>41</v>
      </c>
      <c r="CS24" s="19">
        <v>29</v>
      </c>
      <c r="CT24" s="19">
        <v>10</v>
      </c>
      <c r="CU24" s="19">
        <v>17</v>
      </c>
      <c r="CV24" s="19">
        <v>18</v>
      </c>
      <c r="CW24" s="19">
        <v>35</v>
      </c>
      <c r="CX24" s="19">
        <v>33</v>
      </c>
      <c r="CY24" s="19">
        <v>21</v>
      </c>
      <c r="CZ24" s="19">
        <v>5</v>
      </c>
      <c r="DA24" s="19">
        <v>1</v>
      </c>
      <c r="DB24" s="19">
        <v>377.9462288618088</v>
      </c>
    </row>
    <row r="25" spans="3:106" ht="15" thickBot="1" thickTop="1">
      <c r="C25" s="4">
        <v>10</v>
      </c>
      <c r="D25" s="9">
        <f>SQRT((INDEX(US_2_x,10)-INDEX(US_2_x,1))^2+(INDEX(US_2_y,10)-INDEX(US_2_y,1))^2)</f>
        <v>56.53503338638795</v>
      </c>
      <c r="E25" s="9">
        <f>SQRT((INDEX(US_2_x,10)-INDEX(US_2_x,2))^2+(INDEX(US_2_y,10)-INDEX(US_2_y,2))^2)</f>
        <v>23.268351896943624</v>
      </c>
      <c r="F25" s="9">
        <f>SQRT((INDEX(US_2_x,10)-INDEX(US_2_x,3))^2+(INDEX(US_2_y,10)-INDEX(US_2_y,3))^2)</f>
        <v>44.619893545368306</v>
      </c>
      <c r="G25" s="9">
        <f>SQRT((INDEX(US_2_x,10)-INDEX(US_2_x,4))^2+(INDEX(US_2_y,10)-INDEX(US_2_y,4))^2)</f>
        <v>14.017078868294918</v>
      </c>
      <c r="H25" s="9">
        <f>SQRT((INDEX(US_2_x,10)-INDEX(US_2_x,5))^2+(INDEX(US_2_y,10)-INDEX(US_2_y,5))^2)</f>
        <v>20.111998906125667</v>
      </c>
      <c r="I25" s="9">
        <f>SQRT((INDEX(US_2_x,10)-INDEX(US_2_x,6))^2+(INDEX(US_2_y,10)-INDEX(US_2_y,6))^2)</f>
        <v>69.28296832555601</v>
      </c>
      <c r="J25" s="9">
        <f>SQRT((INDEX(US_2_x,10)-INDEX(US_2_x,7))^2+(INDEX(US_2_y,10)-INDEX(US_2_y,7))^2)</f>
        <v>66.72586455041252</v>
      </c>
      <c r="K25" s="9">
        <f>SQRT((INDEX(US_2_x,10)-INDEX(US_2_x,8))^2+(INDEX(US_2_y,10)-INDEX(US_2_y,8))^2)</f>
        <v>62.02368096138765</v>
      </c>
      <c r="L25" s="9">
        <f>SQRT((INDEX(US_2_x,10)-INDEX(US_2_x,9))^2+(INDEX(US_2_y,10)-INDEX(US_2_y,9))^2)</f>
        <v>57.88323764268893</v>
      </c>
      <c r="M25" s="9" t="s">
        <v>30</v>
      </c>
      <c r="N25" s="9">
        <f>SQRT((INDEX(US_2_x,10)-INDEX(US_2_x,11))^2+(INDEX(US_2_y,10)-INDEX(US_2_y,11))^2)</f>
        <v>43.9146729465221</v>
      </c>
      <c r="O25" s="9">
        <f>SQRT((INDEX(US_2_x,10)-INDEX(US_2_x,12))^2+(INDEX(US_2_y,10)-INDEX(US_2_y,12))^2)</f>
        <v>49.46120196679414</v>
      </c>
      <c r="P25" s="9">
        <f>SQRT((INDEX(US_2_x,10)-INDEX(US_2_x,13))^2+(INDEX(US_2_y,10)-INDEX(US_2_y,13))^2)</f>
        <v>36.47939281292933</v>
      </c>
      <c r="Q25" s="9">
        <f>SQRT((INDEX(US_2_x,10)-INDEX(US_2_x,14))^2+(INDEX(US_2_y,10)-INDEX(US_2_y,14))^2)</f>
        <v>35.00027999888001</v>
      </c>
      <c r="R25" s="9">
        <f>SQRT((INDEX(US_2_x,10)-INDEX(US_2_x,15))^2+(INDEX(US_2_y,10)-INDEX(US_2_y,15))^2)</f>
        <v>52.732514637555454</v>
      </c>
      <c r="S25" s="9">
        <f>SQRT((INDEX(US_2_x,10)-INDEX(US_2_x,16))^2+(INDEX(US_2_y,10)-INDEX(US_2_y,16))^2)</f>
        <v>51.8212552916272</v>
      </c>
      <c r="T25" s="9">
        <f>SQRT((INDEX(US_2_x,10)-INDEX(US_2_x,17))^2+(INDEX(US_2_y,10)-INDEX(US_2_y,17))^2)</f>
        <v>72.15623742962211</v>
      </c>
      <c r="U25" s="9">
        <f>SQRT((INDEX(US_2_x,10)-INDEX(US_2_x,18))^2+(INDEX(US_2_y,10)-INDEX(US_2_y,18))^2)</f>
        <v>65.34307997026158</v>
      </c>
      <c r="V25" s="9">
        <f>SQRT((INDEX(US_2_x,10)-INDEX(US_2_x,19))^2+(INDEX(US_2_y,10)-INDEX(US_2_y,19))^2)</f>
        <v>71.39655173746137</v>
      </c>
      <c r="W25" s="9">
        <f>SQRT((INDEX(US_2_x,10)-INDEX(US_2_x,20))^2+(INDEX(US_2_y,10)-INDEX(US_2_y,20))^2)</f>
        <v>50.21064428983161</v>
      </c>
      <c r="X25" s="9">
        <f>SQRT((INDEX(US_2_x,10)-INDEX(US_2_x,21))^2+(INDEX(US_2_y,10)-INDEX(US_2_y,21))^2)</f>
        <v>36.20226650363206</v>
      </c>
      <c r="Y25" s="9">
        <f>SQRT((INDEX(US_2_x,10)-INDEX(US_2_x,22))^2+(INDEX(US_2_y,10)-INDEX(US_2_y,22))^2)</f>
        <v>50.76597482566448</v>
      </c>
      <c r="Z25" s="9">
        <f>SQRT((INDEX(US_2_x,10)-INDEX(US_2_x,23))^2+(INDEX(US_2_y,10)-INDEX(US_2_y,23))^2)</f>
        <v>40.89163484137068</v>
      </c>
      <c r="AA25" s="20">
        <f>SQRT((INDEX(US_2_x,10)-INDEX(US_2_x,24))^2+(INDEX(US_2_y,10)-INDEX(US_2_y,24))^2)</f>
        <v>9.214342081776648</v>
      </c>
      <c r="AB25" s="9">
        <f>SQRT((INDEX(US_2_x,10)-INDEX(US_2_x,25))^2+(INDEX(US_2_y,10)-INDEX(US_2_y,25))^2)</f>
        <v>32.06642168998593</v>
      </c>
      <c r="AC25" s="9">
        <f>SQRT((INDEX(US_2_x,10)-INDEX(US_2_x,26))^2+(INDEX(US_2_y,10)-INDEX(US_2_y,26))^2)</f>
        <v>11.30848354112964</v>
      </c>
      <c r="AD25" s="9">
        <f>SQRT((INDEX(US_2_x,10)-INDEX(US_2_x,27))^2+(INDEX(US_2_y,10)-INDEX(US_2_y,27))^2)</f>
        <v>70.13212459351277</v>
      </c>
      <c r="AE25" s="9">
        <f>SQRT((INDEX(US_2_x,10)-INDEX(US_2_x,28))^2+(INDEX(US_2_y,10)-INDEX(US_2_y,28))^2)</f>
        <v>67.13022046738712</v>
      </c>
      <c r="AF25" s="9">
        <f>SQRT((INDEX(US_2_x,10)-INDEX(US_2_x,29))^2+(INDEX(US_2_y,10)-INDEX(US_2_y,29))^2)</f>
        <v>24.36405959605254</v>
      </c>
      <c r="AG25" s="9">
        <f>SQRT((INDEX(US_2_x,10)-INDEX(US_2_x,30))^2+(INDEX(US_2_y,10)-INDEX(US_2_y,30))^2)</f>
        <v>67.06299202988188</v>
      </c>
      <c r="AH25" s="9">
        <f>SQRT((INDEX(US_2_x,10)-INDEX(US_2_x,31))^2+(INDEX(US_2_y,10)-INDEX(US_2_y,31))^2)</f>
        <v>64.76804227394865</v>
      </c>
      <c r="AI25" s="9">
        <f>SQRT((INDEX(US_2_x,10)-INDEX(US_2_x,32))^2+(INDEX(US_2_y,10)-INDEX(US_2_y,32))^2)</f>
        <v>24.75323211219093</v>
      </c>
      <c r="AJ25" s="9">
        <f>SQRT((INDEX(US_2_x,10)-INDEX(US_2_x,33))^2+(INDEX(US_2_y,10)-INDEX(US_2_y,33))^2)</f>
        <v>54.315717798810326</v>
      </c>
      <c r="AK25" s="9">
        <f>SQRT((INDEX(US_2_x,10)-INDEX(US_2_x,34))^2+(INDEX(US_2_y,10)-INDEX(US_2_y,34))^2)</f>
        <v>35.980851852061534</v>
      </c>
      <c r="AL25" s="9">
        <f>SQRT((INDEX(US_2_x,10)-INDEX(US_2_x,35))^2+(INDEX(US_2_y,10)-INDEX(US_2_y,35))^2)</f>
        <v>11.017304570538112</v>
      </c>
      <c r="AM25" s="9">
        <f>SQRT((INDEX(US_2_x,10)-INDEX(US_2_x,36))^2+(INDEX(US_2_y,10)-INDEX(US_2_y,36))^2)</f>
        <v>63.752173296288504</v>
      </c>
      <c r="AN25" s="9">
        <f>SQRT((INDEX(US_2_x,10)-INDEX(US_2_x,37))^2+(INDEX(US_2_y,10)-INDEX(US_2_y,37))^2)</f>
        <v>71.20717379590346</v>
      </c>
      <c r="AO25" s="9">
        <f>SQRT((INDEX(US_2_x,10)-INDEX(US_2_x,38))^2+(INDEX(US_2_y,10)-INDEX(US_2_y,38))^2)</f>
        <v>62.8302673876214</v>
      </c>
      <c r="AP25" s="9">
        <f>SQRT((INDEX(US_2_x,10)-INDEX(US_2_x,39))^2+(INDEX(US_2_y,10)-INDEX(US_2_y,39))^2)</f>
        <v>24.96954945528654</v>
      </c>
      <c r="AQ25" s="9">
        <f>SQRT((INDEX(US_2_x,10)-INDEX(US_2_x,40))^2+(INDEX(US_2_y,10)-INDEX(US_2_y,40))^2)</f>
        <v>51.597167557919306</v>
      </c>
      <c r="AR25" s="9">
        <f>SQRT((INDEX(US_2_x,10)-INDEX(US_2_x,41))^2+(INDEX(US_2_y,10)-INDEX(US_2_y,41))^2)</f>
        <v>43.17917322043117</v>
      </c>
      <c r="AS25" s="9">
        <f>SQRT((INDEX(US_2_x,10)-INDEX(US_2_x,42))^2+(INDEX(US_2_y,10)-INDEX(US_2_y,42))^2)</f>
        <v>9.363845363951715</v>
      </c>
      <c r="AT25" s="9">
        <f>SQRT((INDEX(US_2_x,10)-INDEX(US_2_x,43))^2+(INDEX(US_2_y,10)-INDEX(US_2_y,43))^2)</f>
        <v>67.94609922578337</v>
      </c>
      <c r="AU25" s="9">
        <f>SQRT((INDEX(US_2_x,10)-INDEX(US_2_x,44))^2+(INDEX(US_2_y,10)-INDEX(US_2_y,44))^2)</f>
        <v>65.06743348250338</v>
      </c>
      <c r="AV25" s="9">
        <f>SQRT((INDEX(US_2_x,10)-INDEX(US_2_x,45))^2+(INDEX(US_2_y,10)-INDEX(US_2_y,45))^2)</f>
        <v>12.678852471734183</v>
      </c>
      <c r="AW25" s="9">
        <f>SQRT((INDEX(US_2_x,10)-INDEX(US_2_x,46))^2+(INDEX(US_2_y,10)-INDEX(US_2_y,46))^2)</f>
        <v>57.72708289875732</v>
      </c>
      <c r="AX25" s="9">
        <f>SQRT((INDEX(US_2_x,10)-INDEX(US_2_x,47))^2+(INDEX(US_2_y,10)-INDEX(US_2_y,47))^2)</f>
        <v>42.486480202530316</v>
      </c>
      <c r="AY25" s="9">
        <f>SQRT((INDEX(US_2_x,10)-INDEX(US_2_x,48))^2+(INDEX(US_2_y,10)-INDEX(US_2_y,48))^2)</f>
        <v>19.139932079294326</v>
      </c>
      <c r="AZ25" s="9" t="s">
        <v>30</v>
      </c>
      <c r="BA25" s="34">
        <v>11.12</v>
      </c>
      <c r="BB25" s="34">
        <v>20.49</v>
      </c>
      <c r="BD25" s="19">
        <v>4204</v>
      </c>
      <c r="BE25" s="19">
        <v>9</v>
      </c>
      <c r="BF25" s="19">
        <v>29</v>
      </c>
      <c r="BG25" s="19">
        <v>16</v>
      </c>
      <c r="BH25" s="19">
        <v>35</v>
      </c>
      <c r="BI25" s="19">
        <v>48</v>
      </c>
      <c r="BJ25" s="19">
        <v>30</v>
      </c>
      <c r="BK25" s="19">
        <v>43</v>
      </c>
      <c r="BL25" s="19">
        <v>38</v>
      </c>
      <c r="BM25" s="19">
        <v>8</v>
      </c>
      <c r="BN25" s="19">
        <v>42</v>
      </c>
      <c r="BO25" s="19">
        <v>12</v>
      </c>
      <c r="BP25" s="19">
        <v>15</v>
      </c>
      <c r="BQ25" s="19">
        <v>25</v>
      </c>
      <c r="BR25" s="19">
        <v>23</v>
      </c>
      <c r="BS25" s="19">
        <v>40</v>
      </c>
      <c r="BT25" s="19">
        <v>22</v>
      </c>
      <c r="BU25" s="19">
        <v>27</v>
      </c>
      <c r="BV25" s="19">
        <v>7</v>
      </c>
      <c r="BW25" s="19">
        <v>37</v>
      </c>
      <c r="BX25" s="19">
        <v>47</v>
      </c>
      <c r="BY25" s="19">
        <v>13</v>
      </c>
      <c r="BZ25" s="19">
        <v>49</v>
      </c>
      <c r="CA25" s="19">
        <v>11</v>
      </c>
      <c r="CB25" s="19">
        <v>10</v>
      </c>
      <c r="CC25" s="19">
        <v>14</v>
      </c>
      <c r="CD25" s="19">
        <v>4</v>
      </c>
      <c r="CE25" s="19">
        <v>19</v>
      </c>
      <c r="CF25" s="19">
        <v>36</v>
      </c>
      <c r="CG25" s="19">
        <v>34</v>
      </c>
      <c r="CH25" s="19">
        <v>28</v>
      </c>
      <c r="CI25" s="19">
        <v>44</v>
      </c>
      <c r="CJ25" s="19">
        <v>24</v>
      </c>
      <c r="CK25" s="19">
        <v>20</v>
      </c>
      <c r="CL25" s="19">
        <v>3</v>
      </c>
      <c r="CM25" s="19">
        <v>45</v>
      </c>
      <c r="CN25" s="19">
        <v>46</v>
      </c>
      <c r="CO25" s="19">
        <v>6</v>
      </c>
      <c r="CP25" s="19">
        <v>31</v>
      </c>
      <c r="CQ25" s="19">
        <v>32</v>
      </c>
      <c r="CR25" s="19">
        <v>41</v>
      </c>
      <c r="CS25" s="19">
        <v>5</v>
      </c>
      <c r="CT25" s="19">
        <v>26</v>
      </c>
      <c r="CU25" s="19">
        <v>17</v>
      </c>
      <c r="CV25" s="19">
        <v>18</v>
      </c>
      <c r="CW25" s="19">
        <v>2</v>
      </c>
      <c r="CX25" s="19">
        <v>33</v>
      </c>
      <c r="CY25" s="19">
        <v>21</v>
      </c>
      <c r="CZ25" s="19">
        <v>39</v>
      </c>
      <c r="DA25" s="19">
        <v>1</v>
      </c>
      <c r="DB25" s="19">
        <v>382.1800879240036</v>
      </c>
    </row>
    <row r="26" spans="3:106" ht="15" thickBot="1" thickTop="1">
      <c r="C26" s="4">
        <v>11</v>
      </c>
      <c r="D26" s="9">
        <f>SQRT((INDEX(US_2_x,11)-INDEX(US_2_x,1))^2+(INDEX(US_2_y,11)-INDEX(US_2_y,1))^2)</f>
        <v>17.123565633360364</v>
      </c>
      <c r="E26" s="9">
        <f>SQRT((INDEX(US_2_x,11)-INDEX(US_2_x,2))^2+(INDEX(US_2_y,11)-INDEX(US_2_y,2))^2)</f>
        <v>41.478236462029095</v>
      </c>
      <c r="F26" s="9">
        <f>SQRT((INDEX(US_2_x,11)-INDEX(US_2_x,3))^2+(INDEX(US_2_y,11)-INDEX(US_2_y,3))^2)</f>
        <v>11.836249405956263</v>
      </c>
      <c r="G26" s="9">
        <f>SQRT((INDEX(US_2_x,11)-INDEX(US_2_x,4))^2+(INDEX(US_2_y,11)-INDEX(US_2_y,4))^2)</f>
        <v>53.656047189482756</v>
      </c>
      <c r="H26" s="9">
        <f>SQRT((INDEX(US_2_x,11)-INDEX(US_2_x,5))^2+(INDEX(US_2_y,11)-INDEX(US_2_y,5))^2)</f>
        <v>25.72632892583005</v>
      </c>
      <c r="I26" s="9">
        <f>SQRT((INDEX(US_2_x,11)-INDEX(US_2_x,6))^2+(INDEX(US_2_y,11)-INDEX(US_2_y,6))^2)</f>
        <v>28.301067117690103</v>
      </c>
      <c r="J26" s="9">
        <f>SQRT((INDEX(US_2_x,11)-INDEX(US_2_x,7))^2+(INDEX(US_2_y,11)-INDEX(US_2_y,7))^2)</f>
        <v>23.79732127782453</v>
      </c>
      <c r="K26" s="9">
        <f>SQRT((INDEX(US_2_x,11)-INDEX(US_2_x,8))^2+(INDEX(US_2_y,11)-INDEX(US_2_y,8))^2)</f>
        <v>22.404135778913684</v>
      </c>
      <c r="L26" s="9">
        <f>SQRT((INDEX(US_2_x,11)-INDEX(US_2_x,9))^2+(INDEX(US_2_y,11)-INDEX(US_2_y,9))^2)</f>
        <v>16.014808771883605</v>
      </c>
      <c r="M26" s="9">
        <f>SQRT((INDEX(US_2_x,11)-INDEX(US_2_x,10))^2+(INDEX(US_2_y,11)-INDEX(US_2_y,10))^2)</f>
        <v>43.9146729465221</v>
      </c>
      <c r="N26" s="9" t="s">
        <v>30</v>
      </c>
      <c r="O26" s="9">
        <f>SQRT((INDEX(US_2_x,11)-INDEX(US_2_x,12))^2+(INDEX(US_2_y,11)-INDEX(US_2_y,12))^2)</f>
        <v>5.854314648188977</v>
      </c>
      <c r="P26" s="9">
        <f>SQRT((INDEX(US_2_x,11)-INDEX(US_2_x,13))^2+(INDEX(US_2_y,11)-INDEX(US_2_y,13))^2)</f>
        <v>7.650281040589291</v>
      </c>
      <c r="Q26" s="9">
        <f>SQRT((INDEX(US_2_x,11)-INDEX(US_2_x,14))^2+(INDEX(US_2_y,11)-INDEX(US_2_y,14))^2)</f>
        <v>10.289689013765187</v>
      </c>
      <c r="R26" s="9">
        <f>SQRT((INDEX(US_2_x,11)-INDEX(US_2_x,15))^2+(INDEX(US_2_y,11)-INDEX(US_2_y,15))^2)</f>
        <v>8.82366137156226</v>
      </c>
      <c r="S26" s="9">
        <f>SQRT((INDEX(US_2_x,11)-INDEX(US_2_x,16))^2+(INDEX(US_2_y,11)-INDEX(US_2_y,16))^2)</f>
        <v>20.3967889629716</v>
      </c>
      <c r="T26" s="9">
        <f>SQRT((INDEX(US_2_x,11)-INDEX(US_2_x,17))^2+(INDEX(US_2_y,11)-INDEX(US_2_y,17))^2)</f>
        <v>33.52392131001384</v>
      </c>
      <c r="U26" s="9">
        <f>SQRT((INDEX(US_2_x,11)-INDEX(US_2_x,18))^2+(INDEX(US_2_y,11)-INDEX(US_2_y,18))^2)</f>
        <v>22.235763985075938</v>
      </c>
      <c r="V26" s="9">
        <f>SQRT((INDEX(US_2_x,11)-INDEX(US_2_x,19))^2+(INDEX(US_2_y,11)-INDEX(US_2_y,19))^2)</f>
        <v>30.995781971100513</v>
      </c>
      <c r="W26" s="9">
        <f>SQRT((INDEX(US_2_x,11)-INDEX(US_2_x,20))^2+(INDEX(US_2_y,11)-INDEX(US_2_y,20))^2)</f>
        <v>10.48164586312665</v>
      </c>
      <c r="X26" s="9">
        <f>SQRT((INDEX(US_2_x,11)-INDEX(US_2_x,21))^2+(INDEX(US_2_y,11)-INDEX(US_2_y,21))^2)</f>
        <v>12.459510423768664</v>
      </c>
      <c r="Y26" s="9">
        <f>SQRT((INDEX(US_2_x,11)-INDEX(US_2_x,22))^2+(INDEX(US_2_y,11)-INDEX(US_2_y,22))^2)</f>
        <v>16.24409123343008</v>
      </c>
      <c r="Z26" s="20">
        <f>SQRT((INDEX(US_2_x,11)-INDEX(US_2_x,23))^2+(INDEX(US_2_y,11)-INDEX(US_2_y,23))^2)</f>
        <v>5.021324526457136</v>
      </c>
      <c r="AA26" s="9">
        <f>SQRT((INDEX(US_2_x,11)-INDEX(US_2_x,24))^2+(INDEX(US_2_y,11)-INDEX(US_2_y,24))^2)</f>
        <v>38.40368992688072</v>
      </c>
      <c r="AB26" s="9">
        <f>SQRT((INDEX(US_2_x,11)-INDEX(US_2_x,25))^2+(INDEX(US_2_y,11)-INDEX(US_2_y,25))^2)</f>
        <v>11.952309400279093</v>
      </c>
      <c r="AC26" s="9">
        <f>SQRT((INDEX(US_2_x,11)-INDEX(US_2_x,26))^2+(INDEX(US_2_y,11)-INDEX(US_2_y,26))^2)</f>
        <v>50.53003958043176</v>
      </c>
      <c r="AD26" s="9">
        <f>SQRT((INDEX(US_2_x,11)-INDEX(US_2_x,27))^2+(INDEX(US_2_y,11)-INDEX(US_2_y,27))^2)</f>
        <v>30.41864231026756</v>
      </c>
      <c r="AE26" s="9">
        <f>SQRT((INDEX(US_2_x,11)-INDEX(US_2_x,28))^2+(INDEX(US_2_y,11)-INDEX(US_2_y,28))^2)</f>
        <v>24.87559848526262</v>
      </c>
      <c r="AF26" s="9">
        <f>SQRT((INDEX(US_2_x,11)-INDEX(US_2_x,29))^2+(INDEX(US_2_y,11)-INDEX(US_2_y,29))^2)</f>
        <v>29.446869103522705</v>
      </c>
      <c r="AG26" s="9">
        <f>SQRT((INDEX(US_2_x,11)-INDEX(US_2_x,30))^2+(INDEX(US_2_y,11)-INDEX(US_2_y,30))^2)</f>
        <v>26.757159789484383</v>
      </c>
      <c r="AH26" s="9">
        <f>SQRT((INDEX(US_2_x,11)-INDEX(US_2_x,31))^2+(INDEX(US_2_y,11)-INDEX(US_2_y,31))^2)</f>
        <v>20.861337445139995</v>
      </c>
      <c r="AI26" s="9">
        <f>SQRT((INDEX(US_2_x,11)-INDEX(US_2_x,32))^2+(INDEX(US_2_y,11)-INDEX(US_2_y,32))^2)</f>
        <v>23.303068467478692</v>
      </c>
      <c r="AJ26" s="9">
        <f>SQRT((INDEX(US_2_x,11)-INDEX(US_2_x,33))^2+(INDEX(US_2_y,11)-INDEX(US_2_y,33))^2)</f>
        <v>11.132174091344428</v>
      </c>
      <c r="AK26" s="9">
        <f>SQRT((INDEX(US_2_x,11)-INDEX(US_2_x,34))^2+(INDEX(US_2_y,11)-INDEX(US_2_y,34))^2)</f>
        <v>16.49867873497754</v>
      </c>
      <c r="AL26" s="9">
        <f>SQRT((INDEX(US_2_x,11)-INDEX(US_2_x,35))^2+(INDEX(US_2_y,11)-INDEX(US_2_y,35))^2)</f>
        <v>54.58949074684614</v>
      </c>
      <c r="AM26" s="9">
        <f>SQRT((INDEX(US_2_x,11)-INDEX(US_2_x,36))^2+(INDEX(US_2_y,11)-INDEX(US_2_y,36))^2)</f>
        <v>21.31743183406482</v>
      </c>
      <c r="AN26" s="9">
        <f>SQRT((INDEX(US_2_x,11)-INDEX(US_2_x,37))^2+(INDEX(US_2_y,11)-INDEX(US_2_y,37))^2)</f>
        <v>30.36207667469405</v>
      </c>
      <c r="AO26" s="9">
        <f>SQRT((INDEX(US_2_x,11)-INDEX(US_2_x,38))^2+(INDEX(US_2_y,11)-INDEX(US_2_y,38))^2)</f>
        <v>19.577589228503086</v>
      </c>
      <c r="AP26" s="9">
        <f>SQRT((INDEX(US_2_x,11)-INDEX(US_2_x,39))^2+(INDEX(US_2_y,11)-INDEX(US_2_y,39))^2)</f>
        <v>19.96493175545561</v>
      </c>
      <c r="AQ26" s="9">
        <f>SQRT((INDEX(US_2_x,11)-INDEX(US_2_x,40))^2+(INDEX(US_2_y,11)-INDEX(US_2_y,40))^2)</f>
        <v>9.30940384772301</v>
      </c>
      <c r="AR26" s="9">
        <f>SQRT((INDEX(US_2_x,11)-INDEX(US_2_x,41))^2+(INDEX(US_2_y,11)-INDEX(US_2_y,41))^2)</f>
        <v>25.128559449359607</v>
      </c>
      <c r="AS26" s="9">
        <f>SQRT((INDEX(US_2_x,11)-INDEX(US_2_x,42))^2+(INDEX(US_2_y,11)-INDEX(US_2_y,42))^2)</f>
        <v>37.00280124531114</v>
      </c>
      <c r="AT26" s="9">
        <f>SQRT((INDEX(US_2_x,11)-INDEX(US_2_x,43))^2+(INDEX(US_2_y,11)-INDEX(US_2_y,43))^2)</f>
        <v>29.225319502102966</v>
      </c>
      <c r="AU26" s="9">
        <f>SQRT((INDEX(US_2_x,11)-INDEX(US_2_x,44))^2+(INDEX(US_2_y,11)-INDEX(US_2_y,44))^2)</f>
        <v>21.369066427899938</v>
      </c>
      <c r="AV26" s="9">
        <f>SQRT((INDEX(US_2_x,11)-INDEX(US_2_x,45))^2+(INDEX(US_2_y,11)-INDEX(US_2_y,45))^2)</f>
        <v>54.58448863917294</v>
      </c>
      <c r="AW26" s="9">
        <f>SQRT((INDEX(US_2_x,11)-INDEX(US_2_x,46))^2+(INDEX(US_2_y,11)-INDEX(US_2_y,46))^2)</f>
        <v>13.93804146930263</v>
      </c>
      <c r="AX26" s="9">
        <f>SQRT((INDEX(US_2_x,11)-INDEX(US_2_x,47))^2+(INDEX(US_2_y,11)-INDEX(US_2_y,47))^2)</f>
        <v>7.107693015317979</v>
      </c>
      <c r="AY26" s="9">
        <f>SQRT((INDEX(US_2_x,11)-INDEX(US_2_x,48))^2+(INDEX(US_2_y,11)-INDEX(US_2_y,48))^2)</f>
        <v>25.335589592508008</v>
      </c>
      <c r="AZ26" s="9" t="s">
        <v>30</v>
      </c>
      <c r="BA26" s="34">
        <v>54.68</v>
      </c>
      <c r="BB26" s="34">
        <v>26.06</v>
      </c>
      <c r="BD26" s="19">
        <v>4193</v>
      </c>
      <c r="BE26" s="19">
        <v>9</v>
      </c>
      <c r="BF26" s="19">
        <v>45</v>
      </c>
      <c r="BG26" s="19">
        <v>16</v>
      </c>
      <c r="BH26" s="19">
        <v>26</v>
      </c>
      <c r="BI26" s="19">
        <v>29</v>
      </c>
      <c r="BJ26" s="19">
        <v>30</v>
      </c>
      <c r="BK26" s="19">
        <v>43</v>
      </c>
      <c r="BL26" s="19">
        <v>38</v>
      </c>
      <c r="BM26" s="19">
        <v>8</v>
      </c>
      <c r="BN26" s="19">
        <v>24</v>
      </c>
      <c r="BO26" s="19">
        <v>12</v>
      </c>
      <c r="BP26" s="19">
        <v>15</v>
      </c>
      <c r="BQ26" s="19">
        <v>25</v>
      </c>
      <c r="BR26" s="19">
        <v>23</v>
      </c>
      <c r="BS26" s="19">
        <v>40</v>
      </c>
      <c r="BT26" s="19">
        <v>22</v>
      </c>
      <c r="BU26" s="19">
        <v>27</v>
      </c>
      <c r="BV26" s="19">
        <v>7</v>
      </c>
      <c r="BW26" s="19">
        <v>37</v>
      </c>
      <c r="BX26" s="19">
        <v>47</v>
      </c>
      <c r="BY26" s="19">
        <v>13</v>
      </c>
      <c r="BZ26" s="19">
        <v>49</v>
      </c>
      <c r="CA26" s="19">
        <v>11</v>
      </c>
      <c r="CB26" s="19">
        <v>32</v>
      </c>
      <c r="CC26" s="19">
        <v>14</v>
      </c>
      <c r="CD26" s="19">
        <v>42</v>
      </c>
      <c r="CE26" s="19">
        <v>19</v>
      </c>
      <c r="CF26" s="19">
        <v>36</v>
      </c>
      <c r="CG26" s="19">
        <v>34</v>
      </c>
      <c r="CH26" s="19">
        <v>28</v>
      </c>
      <c r="CI26" s="19">
        <v>44</v>
      </c>
      <c r="CJ26" s="19">
        <v>39</v>
      </c>
      <c r="CK26" s="19">
        <v>20</v>
      </c>
      <c r="CL26" s="19">
        <v>3</v>
      </c>
      <c r="CM26" s="19">
        <v>4</v>
      </c>
      <c r="CN26" s="19">
        <v>46</v>
      </c>
      <c r="CO26" s="19">
        <v>6</v>
      </c>
      <c r="CP26" s="19">
        <v>31</v>
      </c>
      <c r="CQ26" s="19">
        <v>48</v>
      </c>
      <c r="CR26" s="19">
        <v>41</v>
      </c>
      <c r="CS26" s="19">
        <v>2</v>
      </c>
      <c r="CT26" s="19">
        <v>10</v>
      </c>
      <c r="CU26" s="19">
        <v>17</v>
      </c>
      <c r="CV26" s="19">
        <v>18</v>
      </c>
      <c r="CW26" s="19">
        <v>35</v>
      </c>
      <c r="CX26" s="19">
        <v>33</v>
      </c>
      <c r="CY26" s="19">
        <v>21</v>
      </c>
      <c r="CZ26" s="19">
        <v>5</v>
      </c>
      <c r="DA26" s="19">
        <v>1</v>
      </c>
      <c r="DB26" s="19">
        <v>382.37383449077606</v>
      </c>
    </row>
    <row r="27" spans="3:106" ht="15" thickBot="1" thickTop="1">
      <c r="C27" s="4">
        <v>12</v>
      </c>
      <c r="D27" s="9">
        <f>SQRT((INDEX(US_2_x,12)-INDEX(US_2_x,1))^2+(INDEX(US_2_y,12)-INDEX(US_2_y,1))^2)</f>
        <v>16.03566337885652</v>
      </c>
      <c r="E27" s="9">
        <f>SQRT((INDEX(US_2_x,12)-INDEX(US_2_x,2))^2+(INDEX(US_2_y,12)-INDEX(US_2_y,2))^2)</f>
        <v>47.22743376470926</v>
      </c>
      <c r="F27" s="9">
        <f>SQRT((INDEX(US_2_x,12)-INDEX(US_2_x,3))^2+(INDEX(US_2_y,12)-INDEX(US_2_y,3))^2)</f>
        <v>15.199611837149002</v>
      </c>
      <c r="G27" s="9">
        <f>SQRT((INDEX(US_2_x,12)-INDEX(US_2_x,4))^2+(INDEX(US_2_y,12)-INDEX(US_2_y,4))^2)</f>
        <v>59.4598755464557</v>
      </c>
      <c r="H27" s="9">
        <f>SQRT((INDEX(US_2_x,12)-INDEX(US_2_x,5))^2+(INDEX(US_2_y,12)-INDEX(US_2_y,5))^2)</f>
        <v>31.56119452745729</v>
      </c>
      <c r="I27" s="9">
        <f>SQRT((INDEX(US_2_x,12)-INDEX(US_2_x,6))^2+(INDEX(US_2_y,12)-INDEX(US_2_y,6))^2)</f>
        <v>22.656976850409674</v>
      </c>
      <c r="J27" s="9">
        <f>SQRT((INDEX(US_2_x,12)-INDEX(US_2_x,7))^2+(INDEX(US_2_y,12)-INDEX(US_2_y,7))^2)</f>
        <v>17.94353644073542</v>
      </c>
      <c r="K27" s="9">
        <f>SQRT((INDEX(US_2_x,12)-INDEX(US_2_x,8))^2+(INDEX(US_2_y,12)-INDEX(US_2_y,8))^2)</f>
        <v>20.504148360758613</v>
      </c>
      <c r="L27" s="9">
        <f>SQRT((INDEX(US_2_x,12)-INDEX(US_2_x,9))^2+(INDEX(US_2_y,12)-INDEX(US_2_y,9))^2)</f>
        <v>13.42544226459598</v>
      </c>
      <c r="M27" s="9">
        <f>SQRT((INDEX(US_2_x,12)-INDEX(US_2_x,10))^2+(INDEX(US_2_y,12)-INDEX(US_2_y,10))^2)</f>
        <v>49.46120196679414</v>
      </c>
      <c r="N27" s="20">
        <f>SQRT((INDEX(US_2_x,12)-INDEX(US_2_x,11))^2+(INDEX(US_2_y,12)-INDEX(US_2_y,11))^2)</f>
        <v>5.854314648188977</v>
      </c>
      <c r="O27" s="9" t="s">
        <v>30</v>
      </c>
      <c r="P27" s="9">
        <f>SQRT((INDEX(US_2_x,12)-INDEX(US_2_x,13))^2+(INDEX(US_2_y,12)-INDEX(US_2_y,13))^2)</f>
        <v>12.983412494409933</v>
      </c>
      <c r="Q27" s="9">
        <f>SQRT((INDEX(US_2_x,12)-INDEX(US_2_x,14))^2+(INDEX(US_2_y,12)-INDEX(US_2_y,14))^2)</f>
        <v>16.119469594251544</v>
      </c>
      <c r="R27" s="9">
        <f>SQRT((INDEX(US_2_x,12)-INDEX(US_2_x,15))^2+(INDEX(US_2_y,12)-INDEX(US_2_y,15))^2)</f>
        <v>4.052949543233915</v>
      </c>
      <c r="S27" s="9">
        <f>SQRT((INDEX(US_2_x,12)-INDEX(US_2_x,16))^2+(INDEX(US_2_y,12)-INDEX(US_2_y,16))^2)</f>
        <v>22.071565417976135</v>
      </c>
      <c r="T27" s="9">
        <f>SQRT((INDEX(US_2_x,12)-INDEX(US_2_x,17))^2+(INDEX(US_2_y,12)-INDEX(US_2_y,17))^2)</f>
        <v>28.234030884731993</v>
      </c>
      <c r="U27" s="9">
        <f>SQRT((INDEX(US_2_x,12)-INDEX(US_2_x,18))^2+(INDEX(US_2_y,12)-INDEX(US_2_y,18))^2)</f>
        <v>16.382362466994806</v>
      </c>
      <c r="V27" s="9">
        <f>SQRT((INDEX(US_2_x,12)-INDEX(US_2_x,19))^2+(INDEX(US_2_y,12)-INDEX(US_2_y,19))^2)</f>
        <v>25.41761003713763</v>
      </c>
      <c r="W27" s="9">
        <f>SQRT((INDEX(US_2_x,12)-INDEX(US_2_x,20))^2+(INDEX(US_2_y,12)-INDEX(US_2_y,20))^2)</f>
        <v>6.937326574408904</v>
      </c>
      <c r="X27" s="9">
        <f>SQRT((INDEX(US_2_x,12)-INDEX(US_2_x,21))^2+(INDEX(US_2_y,12)-INDEX(US_2_y,21))^2)</f>
        <v>15.855762359470454</v>
      </c>
      <c r="Y27" s="9">
        <f>SQRT((INDEX(US_2_x,12)-INDEX(US_2_x,22))^2+(INDEX(US_2_y,12)-INDEX(US_2_y,22))^2)</f>
        <v>17.66553990117483</v>
      </c>
      <c r="Z27" s="9">
        <f>SQRT((INDEX(US_2_x,12)-INDEX(US_2_x,23))^2+(INDEX(US_2_y,12)-INDEX(US_2_y,23))^2)</f>
        <v>10.495622897189094</v>
      </c>
      <c r="AA27" s="9">
        <f>SQRT((INDEX(US_2_x,12)-INDEX(US_2_x,24))^2+(INDEX(US_2_y,12)-INDEX(US_2_y,24))^2)</f>
        <v>43.56470130736581</v>
      </c>
      <c r="AB27" s="9">
        <f>SQRT((INDEX(US_2_x,12)-INDEX(US_2_x,25))^2+(INDEX(US_2_y,12)-INDEX(US_2_y,25))^2)</f>
        <v>17.69950564281387</v>
      </c>
      <c r="AC27" s="9">
        <f>SQRT((INDEX(US_2_x,12)-INDEX(US_2_x,26))^2+(INDEX(US_2_y,12)-INDEX(US_2_y,26))^2)</f>
        <v>56.324315353140335</v>
      </c>
      <c r="AD27" s="9">
        <f>SQRT((INDEX(US_2_x,12)-INDEX(US_2_x,27))^2+(INDEX(US_2_y,12)-INDEX(US_2_y,27))^2)</f>
        <v>24.9785347848908</v>
      </c>
      <c r="AE27" s="9">
        <f>SQRT((INDEX(US_2_x,12)-INDEX(US_2_x,28))^2+(INDEX(US_2_y,12)-INDEX(US_2_y,28))^2)</f>
        <v>19.069263226459483</v>
      </c>
      <c r="AF27" s="9">
        <f>SQRT((INDEX(US_2_x,12)-INDEX(US_2_x,29))^2+(INDEX(US_2_y,12)-INDEX(US_2_y,29))^2)</f>
        <v>35.198058185076064</v>
      </c>
      <c r="AG27" s="9">
        <f>SQRT((INDEX(US_2_x,12)-INDEX(US_2_x,30))^2+(INDEX(US_2_y,12)-INDEX(US_2_y,30))^2)</f>
        <v>21.27077337569088</v>
      </c>
      <c r="AH27" s="9">
        <f>SQRT((INDEX(US_2_x,12)-INDEX(US_2_x,31))^2+(INDEX(US_2_y,12)-INDEX(US_2_y,31))^2)</f>
        <v>15.576649190374676</v>
      </c>
      <c r="AI27" s="9">
        <f>SQRT((INDEX(US_2_x,12)-INDEX(US_2_x,32))^2+(INDEX(US_2_y,12)-INDEX(US_2_y,32))^2)</f>
        <v>27.777976888175274</v>
      </c>
      <c r="AJ27" s="9">
        <f>SQRT((INDEX(US_2_x,12)-INDEX(US_2_x,33))^2+(INDEX(US_2_y,12)-INDEX(US_2_y,33))^2)</f>
        <v>5.300650903426865</v>
      </c>
      <c r="AK27" s="9">
        <f>SQRT((INDEX(US_2_x,12)-INDEX(US_2_x,34))^2+(INDEX(US_2_y,12)-INDEX(US_2_y,34))^2)</f>
        <v>21.7089520705169</v>
      </c>
      <c r="AL27" s="9">
        <f>SQRT((INDEX(US_2_x,12)-INDEX(US_2_x,35))^2+(INDEX(US_2_y,12)-INDEX(US_2_y,35))^2)</f>
        <v>60.02066727386493</v>
      </c>
      <c r="AM27" s="9">
        <f>SQRT((INDEX(US_2_x,12)-INDEX(US_2_x,36))^2+(INDEX(US_2_y,12)-INDEX(US_2_y,36))^2)</f>
        <v>15.511018664162584</v>
      </c>
      <c r="AN27" s="9">
        <f>SQRT((INDEX(US_2_x,12)-INDEX(US_2_x,37))^2+(INDEX(US_2_y,12)-INDEX(US_2_y,37))^2)</f>
        <v>24.71601302799463</v>
      </c>
      <c r="AO27" s="9">
        <f>SQRT((INDEX(US_2_x,12)-INDEX(US_2_x,38))^2+(INDEX(US_2_y,12)-INDEX(US_2_y,38))^2)</f>
        <v>15.375467472568111</v>
      </c>
      <c r="AP27" s="9">
        <f>SQRT((INDEX(US_2_x,12)-INDEX(US_2_x,39))^2+(INDEX(US_2_y,12)-INDEX(US_2_y,39))^2)</f>
        <v>25.053863973447285</v>
      </c>
      <c r="AQ27" s="9">
        <f>SQRT((INDEX(US_2_x,12)-INDEX(US_2_x,40))^2+(INDEX(US_2_y,12)-INDEX(US_2_y,40))^2)</f>
        <v>7.900430368024263</v>
      </c>
      <c r="AR27" s="9">
        <f>SQRT((INDEX(US_2_x,12)-INDEX(US_2_x,41))^2+(INDEX(US_2_y,12)-INDEX(US_2_y,41))^2)</f>
        <v>29.115811855416297</v>
      </c>
      <c r="AS27" s="9">
        <f>SQRT((INDEX(US_2_x,12)-INDEX(US_2_x,42))^2+(INDEX(US_2_y,12)-INDEX(US_2_y,42))^2)</f>
        <v>42.76651143125893</v>
      </c>
      <c r="AT27" s="9">
        <f>SQRT((INDEX(US_2_x,12)-INDEX(US_2_x,43))^2+(INDEX(US_2_y,12)-INDEX(US_2_y,43))^2)</f>
        <v>24.023648765331217</v>
      </c>
      <c r="AU27" s="9">
        <f>SQRT((INDEX(US_2_x,12)-INDEX(US_2_x,44))^2+(INDEX(US_2_y,12)-INDEX(US_2_y,44))^2)</f>
        <v>15.634436350569217</v>
      </c>
      <c r="AV27" s="9">
        <f>SQRT((INDEX(US_2_x,12)-INDEX(US_2_x,45))^2+(INDEX(US_2_y,12)-INDEX(US_2_y,45))^2)</f>
        <v>59.822445620352234</v>
      </c>
      <c r="AW27" s="9">
        <f>SQRT((INDEX(US_2_x,12)-INDEX(US_2_x,46))^2+(INDEX(US_2_y,12)-INDEX(US_2_y,46))^2)</f>
        <v>8.267551027964682</v>
      </c>
      <c r="AX27" s="9">
        <f>SQRT((INDEX(US_2_x,12)-INDEX(US_2_x,47))^2+(INDEX(US_2_y,12)-INDEX(US_2_y,47))^2)</f>
        <v>8.914263850705787</v>
      </c>
      <c r="AY27" s="9">
        <f>SQRT((INDEX(US_2_x,12)-INDEX(US_2_x,48))^2+(INDEX(US_2_y,12)-INDEX(US_2_y,48))^2)</f>
        <v>31.08684126764892</v>
      </c>
      <c r="AZ27" s="9" t="s">
        <v>30</v>
      </c>
      <c r="BA27" s="34">
        <v>59.89</v>
      </c>
      <c r="BB27" s="34">
        <v>28.73</v>
      </c>
      <c r="BD27" s="19">
        <v>3932</v>
      </c>
      <c r="BE27" s="19">
        <v>9</v>
      </c>
      <c r="BF27" s="19">
        <v>41</v>
      </c>
      <c r="BG27" s="19">
        <v>34</v>
      </c>
      <c r="BH27" s="19">
        <v>35</v>
      </c>
      <c r="BI27" s="19">
        <v>48</v>
      </c>
      <c r="BJ27" s="19">
        <v>30</v>
      </c>
      <c r="BK27" s="19">
        <v>43</v>
      </c>
      <c r="BL27" s="19">
        <v>38</v>
      </c>
      <c r="BM27" s="19">
        <v>8</v>
      </c>
      <c r="BN27" s="19">
        <v>42</v>
      </c>
      <c r="BO27" s="19">
        <v>12</v>
      </c>
      <c r="BP27" s="19">
        <v>15</v>
      </c>
      <c r="BQ27" s="19">
        <v>25</v>
      </c>
      <c r="BR27" s="19">
        <v>23</v>
      </c>
      <c r="BS27" s="19">
        <v>40</v>
      </c>
      <c r="BT27" s="19">
        <v>3</v>
      </c>
      <c r="BU27" s="19">
        <v>27</v>
      </c>
      <c r="BV27" s="19">
        <v>7</v>
      </c>
      <c r="BW27" s="19">
        <v>37</v>
      </c>
      <c r="BX27" s="19">
        <v>47</v>
      </c>
      <c r="BY27" s="19">
        <v>13</v>
      </c>
      <c r="BZ27" s="19">
        <v>16</v>
      </c>
      <c r="CA27" s="19">
        <v>11</v>
      </c>
      <c r="CB27" s="19">
        <v>10</v>
      </c>
      <c r="CC27" s="19">
        <v>14</v>
      </c>
      <c r="CD27" s="19">
        <v>4</v>
      </c>
      <c r="CE27" s="19">
        <v>19</v>
      </c>
      <c r="CF27" s="19">
        <v>36</v>
      </c>
      <c r="CG27" s="19">
        <v>5</v>
      </c>
      <c r="CH27" s="19">
        <v>28</v>
      </c>
      <c r="CI27" s="19">
        <v>44</v>
      </c>
      <c r="CJ27" s="19">
        <v>24</v>
      </c>
      <c r="CK27" s="19">
        <v>20</v>
      </c>
      <c r="CL27" s="19">
        <v>29</v>
      </c>
      <c r="CM27" s="19">
        <v>45</v>
      </c>
      <c r="CN27" s="19">
        <v>46</v>
      </c>
      <c r="CO27" s="19">
        <v>6</v>
      </c>
      <c r="CP27" s="19">
        <v>31</v>
      </c>
      <c r="CQ27" s="19">
        <v>32</v>
      </c>
      <c r="CR27" s="19">
        <v>22</v>
      </c>
      <c r="CS27" s="19">
        <v>49</v>
      </c>
      <c r="CT27" s="19">
        <v>26</v>
      </c>
      <c r="CU27" s="19">
        <v>17</v>
      </c>
      <c r="CV27" s="19">
        <v>18</v>
      </c>
      <c r="CW27" s="19">
        <v>2</v>
      </c>
      <c r="CX27" s="19">
        <v>33</v>
      </c>
      <c r="CY27" s="19">
        <v>21</v>
      </c>
      <c r="CZ27" s="19">
        <v>39</v>
      </c>
      <c r="DA27" s="19">
        <v>1</v>
      </c>
      <c r="DB27" s="19">
        <v>383.6986154317856</v>
      </c>
    </row>
    <row r="28" spans="3:106" ht="15" thickBot="1" thickTop="1">
      <c r="C28" s="4">
        <v>13</v>
      </c>
      <c r="D28" s="9">
        <f>SQRT((INDEX(US_2_x,13)-INDEX(US_2_x,1))^2+(INDEX(US_2_y,13)-INDEX(US_2_y,1))^2)</f>
        <v>23.671977103740193</v>
      </c>
      <c r="E28" s="9">
        <f>SQRT((INDEX(US_2_x,13)-INDEX(US_2_x,2))^2+(INDEX(US_2_y,13)-INDEX(US_2_y,2))^2)</f>
        <v>36.3491746811396</v>
      </c>
      <c r="F28" s="9">
        <f>SQRT((INDEX(US_2_x,13)-INDEX(US_2_x,3))^2+(INDEX(US_2_y,13)-INDEX(US_2_y,3))^2)</f>
        <v>14.971559704987314</v>
      </c>
      <c r="G28" s="9">
        <f>SQRT((INDEX(US_2_x,13)-INDEX(US_2_x,4))^2+(INDEX(US_2_y,13)-INDEX(US_2_y,4))^2)</f>
        <v>46.789864287044054</v>
      </c>
      <c r="H28" s="9">
        <f>SQRT((INDEX(US_2_x,13)-INDEX(US_2_x,5))^2+(INDEX(US_2_y,13)-INDEX(US_2_y,5))^2)</f>
        <v>19.23090221492481</v>
      </c>
      <c r="I28" s="9">
        <f>SQRT((INDEX(US_2_x,13)-INDEX(US_2_x,6))^2+(INDEX(US_2_y,13)-INDEX(US_2_y,6))^2)</f>
        <v>34.065026053123745</v>
      </c>
      <c r="J28" s="9">
        <f>SQRT((INDEX(US_2_x,13)-INDEX(US_2_x,7))^2+(INDEX(US_2_y,13)-INDEX(US_2_y,7))^2)</f>
        <v>30.504840599485192</v>
      </c>
      <c r="K28" s="9">
        <f>SQRT((INDEX(US_2_x,13)-INDEX(US_2_x,8))^2+(INDEX(US_2_y,13)-INDEX(US_2_y,8))^2)</f>
        <v>29.19814548905461</v>
      </c>
      <c r="L28" s="9">
        <f>SQRT((INDEX(US_2_x,13)-INDEX(US_2_x,9))^2+(INDEX(US_2_y,13)-INDEX(US_2_y,9))^2)</f>
        <v>23.296748700194197</v>
      </c>
      <c r="M28" s="9">
        <f>SQRT((INDEX(US_2_x,13)-INDEX(US_2_x,10))^2+(INDEX(US_2_y,13)-INDEX(US_2_y,10))^2)</f>
        <v>36.47939281292933</v>
      </c>
      <c r="N28" s="9">
        <f>SQRT((INDEX(US_2_x,13)-INDEX(US_2_x,11))^2+(INDEX(US_2_y,13)-INDEX(US_2_y,11))^2)</f>
        <v>7.650281040589291</v>
      </c>
      <c r="O28" s="9">
        <f>SQRT((INDEX(US_2_x,13)-INDEX(US_2_x,12))^2+(INDEX(US_2_y,13)-INDEX(US_2_y,12))^2)</f>
        <v>12.983412494409933</v>
      </c>
      <c r="P28" s="9" t="s">
        <v>30</v>
      </c>
      <c r="Q28" s="9">
        <f>SQRT((INDEX(US_2_x,13)-INDEX(US_2_x,14))^2+(INDEX(US_2_y,13)-INDEX(US_2_y,14))^2)</f>
        <v>6.458769232601515</v>
      </c>
      <c r="R28" s="9">
        <f>SQRT((INDEX(US_2_x,13)-INDEX(US_2_x,15))^2+(INDEX(US_2_y,13)-INDEX(US_2_y,15))^2)</f>
        <v>16.410246798875388</v>
      </c>
      <c r="S28" s="9">
        <f>SQRT((INDEX(US_2_x,13)-INDEX(US_2_x,16))^2+(INDEX(US_2_y,13)-INDEX(US_2_y,16))^2)</f>
        <v>24.459816025473287</v>
      </c>
      <c r="T28" s="9">
        <f>SQRT((INDEX(US_2_x,13)-INDEX(US_2_x,17))^2+(INDEX(US_2_y,13)-INDEX(US_2_y,17))^2)</f>
        <v>38.391568084671924</v>
      </c>
      <c r="U28" s="9">
        <f>SQRT((INDEX(US_2_x,13)-INDEX(US_2_x,18))^2+(INDEX(US_2_y,13)-INDEX(US_2_y,18))^2)</f>
        <v>29.042369049373367</v>
      </c>
      <c r="V28" s="9">
        <f>SQRT((INDEX(US_2_x,13)-INDEX(US_2_x,19))^2+(INDEX(US_2_y,13)-INDEX(US_2_y,19))^2)</f>
        <v>36.5445987801207</v>
      </c>
      <c r="W28" s="9">
        <f>SQRT((INDEX(US_2_x,13)-INDEX(US_2_x,20))^2+(INDEX(US_2_y,13)-INDEX(US_2_y,20))^2)</f>
        <v>14.87415543820892</v>
      </c>
      <c r="X28" s="20">
        <f>SQRT((INDEX(US_2_x,13)-INDEX(US_2_x,21))^2+(INDEX(US_2_y,13)-INDEX(US_2_y,21))^2)</f>
        <v>7.298999931497465</v>
      </c>
      <c r="Y28" s="9">
        <f>SQRT((INDEX(US_2_x,13)-INDEX(US_2_x,22))^2+(INDEX(US_2_y,13)-INDEX(US_2_y,22))^2)</f>
        <v>20.957387718892825</v>
      </c>
      <c r="Z28" s="9">
        <f>SQRT((INDEX(US_2_x,13)-INDEX(US_2_x,23))^2+(INDEX(US_2_y,13)-INDEX(US_2_y,23))^2)</f>
        <v>6.96500538406109</v>
      </c>
      <c r="AA28" s="9">
        <f>SQRT((INDEX(US_2_x,13)-INDEX(US_2_x,24))^2+(INDEX(US_2_y,13)-INDEX(US_2_y,24))^2)</f>
        <v>30.75963913962581</v>
      </c>
      <c r="AB28" s="9">
        <f>SQRT((INDEX(US_2_x,13)-INDEX(US_2_x,25))^2+(INDEX(US_2_y,13)-INDEX(US_2_y,25))^2)</f>
        <v>5.320761223734816</v>
      </c>
      <c r="AC28" s="9">
        <f>SQRT((INDEX(US_2_x,13)-INDEX(US_2_x,26))^2+(INDEX(US_2_y,13)-INDEX(US_2_y,26))^2)</f>
        <v>43.6247464176011</v>
      </c>
      <c r="AD28" s="9">
        <f>SQRT((INDEX(US_2_x,13)-INDEX(US_2_x,27))^2+(INDEX(US_2_y,13)-INDEX(US_2_y,27))^2)</f>
        <v>35.66206107335917</v>
      </c>
      <c r="AE28" s="9">
        <f>SQRT((INDEX(US_2_x,13)-INDEX(US_2_x,28))^2+(INDEX(US_2_y,13)-INDEX(US_2_y,28))^2)</f>
        <v>31.217741750485406</v>
      </c>
      <c r="AF28" s="9">
        <f>SQRT((INDEX(US_2_x,13)-INDEX(US_2_x,29))^2+(INDEX(US_2_y,13)-INDEX(US_2_y,29))^2)</f>
        <v>24.52868728652229</v>
      </c>
      <c r="AG28" s="9">
        <f>SQRT((INDEX(US_2_x,13)-INDEX(US_2_x,30))^2+(INDEX(US_2_y,13)-INDEX(US_2_y,30))^2)</f>
        <v>32.18313222792337</v>
      </c>
      <c r="AH28" s="9">
        <f>SQRT((INDEX(US_2_x,13)-INDEX(US_2_x,31))^2+(INDEX(US_2_y,13)-INDEX(US_2_y,31))^2)</f>
        <v>28.41839193198658</v>
      </c>
      <c r="AI28" s="9">
        <f>SQRT((INDEX(US_2_x,13)-INDEX(US_2_x,32))^2+(INDEX(US_2_y,13)-INDEX(US_2_y,32))^2)</f>
        <v>15.914402282209657</v>
      </c>
      <c r="AJ28" s="9">
        <f>SQRT((INDEX(US_2_x,13)-INDEX(US_2_x,33))^2+(INDEX(US_2_y,13)-INDEX(US_2_y,33))^2)</f>
        <v>17.909218296731996</v>
      </c>
      <c r="AK28" s="9">
        <f>SQRT((INDEX(US_2_x,13)-INDEX(US_2_x,34))^2+(INDEX(US_2_y,13)-INDEX(US_2_y,34))^2)</f>
        <v>14.792498098698541</v>
      </c>
      <c r="AL28" s="9">
        <f>SQRT((INDEX(US_2_x,13)-INDEX(US_2_x,35))^2+(INDEX(US_2_y,13)-INDEX(US_2_y,35))^2)</f>
        <v>47.053430268153676</v>
      </c>
      <c r="AM28" s="9">
        <f>SQRT((INDEX(US_2_x,13)-INDEX(US_2_x,36))^2+(INDEX(US_2_y,13)-INDEX(US_2_y,36))^2)</f>
        <v>27.717844432783732</v>
      </c>
      <c r="AN28" s="9">
        <f>SQRT((INDEX(US_2_x,13)-INDEX(US_2_x,37))^2+(INDEX(US_2_y,13)-INDEX(US_2_y,37))^2)</f>
        <v>36.09622833482745</v>
      </c>
      <c r="AO28" s="9">
        <f>SQRT((INDEX(US_2_x,13)-INDEX(US_2_x,38))^2+(INDEX(US_2_y,13)-INDEX(US_2_y,38))^2)</f>
        <v>27.202014631273176</v>
      </c>
      <c r="AP28" s="9">
        <f>SQRT((INDEX(US_2_x,13)-INDEX(US_2_x,39))^2+(INDEX(US_2_y,13)-INDEX(US_2_y,39))^2)</f>
        <v>12.317909725274006</v>
      </c>
      <c r="AQ28" s="9">
        <f>SQRT((INDEX(US_2_x,13)-INDEX(US_2_x,40))^2+(INDEX(US_2_y,13)-INDEX(US_2_y,40))^2)</f>
        <v>16.55217810440668</v>
      </c>
      <c r="AR28" s="9">
        <f>SQRT((INDEX(US_2_x,13)-INDEX(US_2_x,41))^2+(INDEX(US_2_y,13)-INDEX(US_2_y,41))^2)</f>
        <v>25.493130447240095</v>
      </c>
      <c r="AS28" s="9">
        <f>SQRT((INDEX(US_2_x,13)-INDEX(US_2_x,42))^2+(INDEX(US_2_y,13)-INDEX(US_2_y,42))^2)</f>
        <v>30.00854045101161</v>
      </c>
      <c r="AT28" s="9">
        <f>SQRT((INDEX(US_2_x,13)-INDEX(US_2_x,43))^2+(INDEX(US_2_y,13)-INDEX(US_2_y,43))^2)</f>
        <v>34.0236697021353</v>
      </c>
      <c r="AU28" s="9">
        <f>SQRT((INDEX(US_2_x,13)-INDEX(US_2_x,44))^2+(INDEX(US_2_y,13)-INDEX(US_2_y,44))^2)</f>
        <v>28.593765054640848</v>
      </c>
      <c r="AV28" s="9">
        <f>SQRT((INDEX(US_2_x,13)-INDEX(US_2_x,45))^2+(INDEX(US_2_y,13)-INDEX(US_2_y,45))^2)</f>
        <v>46.96000425894359</v>
      </c>
      <c r="AW28" s="9">
        <f>SQRT((INDEX(US_2_x,13)-INDEX(US_2_x,46))^2+(INDEX(US_2_y,13)-INDEX(US_2_y,46))^2)</f>
        <v>21.25079292638276</v>
      </c>
      <c r="AX28" s="9">
        <f>SQRT((INDEX(US_2_x,13)-INDEX(US_2_x,47))^2+(INDEX(US_2_y,13)-INDEX(US_2_y,47))^2)</f>
        <v>7.553125181009513</v>
      </c>
      <c r="AY28" s="9">
        <f>SQRT((INDEX(US_2_x,13)-INDEX(US_2_x,48))^2+(INDEX(US_2_y,13)-INDEX(US_2_y,48))^2)</f>
        <v>18.35296433822068</v>
      </c>
      <c r="AZ28" s="9" t="s">
        <v>30</v>
      </c>
      <c r="BA28" s="34">
        <v>47.06</v>
      </c>
      <c r="BB28" s="34">
        <v>26.74</v>
      </c>
      <c r="BD28" s="19">
        <v>3557</v>
      </c>
      <c r="BE28" s="19">
        <v>9</v>
      </c>
      <c r="BF28" s="19">
        <v>41</v>
      </c>
      <c r="BG28" s="19">
        <v>34</v>
      </c>
      <c r="BH28" s="19">
        <v>35</v>
      </c>
      <c r="BI28" s="19">
        <v>48</v>
      </c>
      <c r="BJ28" s="19">
        <v>30</v>
      </c>
      <c r="BK28" s="19">
        <v>43</v>
      </c>
      <c r="BL28" s="19">
        <v>38</v>
      </c>
      <c r="BM28" s="19">
        <v>8</v>
      </c>
      <c r="BN28" s="19">
        <v>42</v>
      </c>
      <c r="BO28" s="19">
        <v>23</v>
      </c>
      <c r="BP28" s="19">
        <v>11</v>
      </c>
      <c r="BQ28" s="19">
        <v>21</v>
      </c>
      <c r="BR28" s="19">
        <v>25</v>
      </c>
      <c r="BS28" s="19">
        <v>12</v>
      </c>
      <c r="BT28" s="19">
        <v>3</v>
      </c>
      <c r="BU28" s="19">
        <v>27</v>
      </c>
      <c r="BV28" s="19">
        <v>7</v>
      </c>
      <c r="BW28" s="19">
        <v>37</v>
      </c>
      <c r="BX28" s="19">
        <v>40</v>
      </c>
      <c r="BY28" s="19">
        <v>47</v>
      </c>
      <c r="BZ28" s="19">
        <v>16</v>
      </c>
      <c r="CA28" s="19">
        <v>14</v>
      </c>
      <c r="CB28" s="19">
        <v>10</v>
      </c>
      <c r="CC28" s="19">
        <v>13</v>
      </c>
      <c r="CD28" s="19">
        <v>4</v>
      </c>
      <c r="CE28" s="19">
        <v>19</v>
      </c>
      <c r="CF28" s="19">
        <v>36</v>
      </c>
      <c r="CG28" s="19">
        <v>5</v>
      </c>
      <c r="CH28" s="19">
        <v>28</v>
      </c>
      <c r="CI28" s="19">
        <v>44</v>
      </c>
      <c r="CJ28" s="19">
        <v>24</v>
      </c>
      <c r="CK28" s="19">
        <v>15</v>
      </c>
      <c r="CL28" s="19">
        <v>29</v>
      </c>
      <c r="CM28" s="19">
        <v>45</v>
      </c>
      <c r="CN28" s="19">
        <v>46</v>
      </c>
      <c r="CO28" s="19">
        <v>6</v>
      </c>
      <c r="CP28" s="19">
        <v>31</v>
      </c>
      <c r="CQ28" s="19">
        <v>32</v>
      </c>
      <c r="CR28" s="19">
        <v>22</v>
      </c>
      <c r="CS28" s="19">
        <v>49</v>
      </c>
      <c r="CT28" s="19">
        <v>26</v>
      </c>
      <c r="CU28" s="19">
        <v>17</v>
      </c>
      <c r="CV28" s="19">
        <v>18</v>
      </c>
      <c r="CW28" s="19">
        <v>2</v>
      </c>
      <c r="CX28" s="19">
        <v>33</v>
      </c>
      <c r="CY28" s="19">
        <v>20</v>
      </c>
      <c r="CZ28" s="19">
        <v>39</v>
      </c>
      <c r="DA28" s="19">
        <v>1</v>
      </c>
      <c r="DB28" s="19">
        <v>391.3279446363449</v>
      </c>
    </row>
    <row r="29" spans="3:106" ht="15" thickBot="1" thickTop="1">
      <c r="C29" s="4">
        <v>14</v>
      </c>
      <c r="D29" s="9">
        <f>SQRT((INDEX(US_2_x,14)-INDEX(US_2_x,1))^2+(INDEX(US_2_y,14)-INDEX(US_2_y,1))^2)</f>
        <v>22.00365424196627</v>
      </c>
      <c r="E29" s="9">
        <f>SQRT((INDEX(US_2_x,14)-INDEX(US_2_x,2))^2+(INDEX(US_2_y,14)-INDEX(US_2_y,2))^2)</f>
        <v>31.241424423351763</v>
      </c>
      <c r="F29" s="9">
        <f>SQRT((INDEX(US_2_x,14)-INDEX(US_2_x,3))^2+(INDEX(US_2_y,14)-INDEX(US_2_y,3))^2)</f>
        <v>11.027443039979849</v>
      </c>
      <c r="G29" s="9">
        <f>SQRT((INDEX(US_2_x,14)-INDEX(US_2_x,4))^2+(INDEX(US_2_y,14)-INDEX(US_2_y,4))^2)</f>
        <v>43.77003198536642</v>
      </c>
      <c r="H29" s="9">
        <f>SQRT((INDEX(US_2_x,14)-INDEX(US_2_x,5))^2+(INDEX(US_2_y,14)-INDEX(US_2_y,5))^2)</f>
        <v>15.791709850424683</v>
      </c>
      <c r="I29" s="9">
        <f>SQRT((INDEX(US_2_x,14)-INDEX(US_2_x,6))^2+(INDEX(US_2_y,14)-INDEX(US_2_y,6))^2)</f>
        <v>38.531733674985354</v>
      </c>
      <c r="J29" s="9">
        <f>SQRT((INDEX(US_2_x,14)-INDEX(US_2_x,7))^2+(INDEX(US_2_y,14)-INDEX(US_2_y,7))^2)</f>
        <v>34.04890893993522</v>
      </c>
      <c r="K29" s="9">
        <f>SQRT((INDEX(US_2_x,14)-INDEX(US_2_x,8))^2+(INDEX(US_2_y,14)-INDEX(US_2_y,8))^2)</f>
        <v>27.616476965753623</v>
      </c>
      <c r="L29" s="9">
        <f>SQRT((INDEX(US_2_x,14)-INDEX(US_2_x,9))^2+(INDEX(US_2_y,14)-INDEX(US_2_y,9))^2)</f>
        <v>22.909159740156344</v>
      </c>
      <c r="M29" s="9">
        <f>SQRT((INDEX(US_2_x,14)-INDEX(US_2_x,10))^2+(INDEX(US_2_y,14)-INDEX(US_2_y,10))^2)</f>
        <v>35.00027999888001</v>
      </c>
      <c r="N29" s="9">
        <f>SQRT((INDEX(US_2_x,14)-INDEX(US_2_x,11))^2+(INDEX(US_2_y,14)-INDEX(US_2_y,11))^2)</f>
        <v>10.289689013765187</v>
      </c>
      <c r="O29" s="9">
        <f>SQRT((INDEX(US_2_x,14)-INDEX(US_2_x,12))^2+(INDEX(US_2_y,14)-INDEX(US_2_y,12))^2)</f>
        <v>16.119469594251544</v>
      </c>
      <c r="P29" s="9">
        <f>SQRT((INDEX(US_2_x,14)-INDEX(US_2_x,13))^2+(INDEX(US_2_y,14)-INDEX(US_2_y,13))^2)</f>
        <v>6.458769232601515</v>
      </c>
      <c r="Q29" s="9" t="s">
        <v>30</v>
      </c>
      <c r="R29" s="9">
        <f>SQRT((INDEX(US_2_x,14)-INDEX(US_2_x,15))^2+(INDEX(US_2_y,14)-INDEX(US_2_y,15))^2)</f>
        <v>18.52060744144209</v>
      </c>
      <c r="S29" s="9">
        <f>SQRT((INDEX(US_2_x,14)-INDEX(US_2_x,16))^2+(INDEX(US_2_y,14)-INDEX(US_2_y,16))^2)</f>
        <v>20.250878993268415</v>
      </c>
      <c r="T29" s="9">
        <f>SQRT((INDEX(US_2_x,14)-INDEX(US_2_x,17))^2+(INDEX(US_2_y,14)-INDEX(US_2_y,17))^2)</f>
        <v>43.4858620703327</v>
      </c>
      <c r="U29" s="9">
        <f>SQRT((INDEX(US_2_x,14)-INDEX(US_2_x,18))^2+(INDEX(US_2_y,14)-INDEX(US_2_y,18))^2)</f>
        <v>32.46617470537606</v>
      </c>
      <c r="V29" s="9">
        <f>SQRT((INDEX(US_2_x,14)-INDEX(US_2_x,19))^2+(INDEX(US_2_y,14)-INDEX(US_2_y,19))^2)</f>
        <v>41.18220975129916</v>
      </c>
      <c r="W29" s="9">
        <f>SQRT((INDEX(US_2_x,14)-INDEX(US_2_x,20))^2+(INDEX(US_2_y,14)-INDEX(US_2_y,20))^2)</f>
        <v>19.969026015306806</v>
      </c>
      <c r="X29" s="9">
        <f>SQRT((INDEX(US_2_x,14)-INDEX(US_2_x,21))^2+(INDEX(US_2_y,14)-INDEX(US_2_y,21))^2)</f>
        <v>13.402227426812301</v>
      </c>
      <c r="Y29" s="9">
        <f>SQRT((INDEX(US_2_x,14)-INDEX(US_2_x,22))^2+(INDEX(US_2_y,14)-INDEX(US_2_y,22))^2)</f>
        <v>17.529249841336625</v>
      </c>
      <c r="Z29" s="9">
        <f>SQRT((INDEX(US_2_x,14)-INDEX(US_2_x,23))^2+(INDEX(US_2_y,14)-INDEX(US_2_y,23))^2)</f>
        <v>6.051264330699829</v>
      </c>
      <c r="AA29" s="9">
        <f>SQRT((INDEX(US_2_x,14)-INDEX(US_2_x,24))^2+(INDEX(US_2_y,14)-INDEX(US_2_y,24))^2)</f>
        <v>30.77907893358734</v>
      </c>
      <c r="AB29" s="20">
        <f>SQRT((INDEX(US_2_x,14)-INDEX(US_2_x,25))^2+(INDEX(US_2_y,14)-INDEX(US_2_y,25))^2)</f>
        <v>4.188006685763523</v>
      </c>
      <c r="AC29" s="9">
        <f>SQRT((INDEX(US_2_x,14)-INDEX(US_2_x,26))^2+(INDEX(US_2_y,14)-INDEX(US_2_y,26))^2)</f>
        <v>40.692517739751615</v>
      </c>
      <c r="AD29" s="9">
        <f>SQRT((INDEX(US_2_x,14)-INDEX(US_2_x,27))^2+(INDEX(US_2_y,14)-INDEX(US_2_y,27))^2)</f>
        <v>40.51160944716958</v>
      </c>
      <c r="AE29" s="9">
        <f>SQRT((INDEX(US_2_x,14)-INDEX(US_2_x,28))^2+(INDEX(US_2_y,14)-INDEX(US_2_y,28))^2)</f>
        <v>35.165262689193725</v>
      </c>
      <c r="AF29" s="9">
        <f>SQRT((INDEX(US_2_x,14)-INDEX(US_2_x,29))^2+(INDEX(US_2_y,14)-INDEX(US_2_y,29))^2)</f>
        <v>19.222554460841046</v>
      </c>
      <c r="AG29" s="9">
        <f>SQRT((INDEX(US_2_x,14)-INDEX(US_2_x,30))^2+(INDEX(US_2_y,14)-INDEX(US_2_y,30))^2)</f>
        <v>36.8963968430523</v>
      </c>
      <c r="AH29" s="9">
        <f>SQRT((INDEX(US_2_x,14)-INDEX(US_2_x,31))^2+(INDEX(US_2_y,14)-INDEX(US_2_y,31))^2)</f>
        <v>30.313767499273336</v>
      </c>
      <c r="AI29" s="9">
        <f>SQRT((INDEX(US_2_x,14)-INDEX(US_2_x,32))^2+(INDEX(US_2_y,14)-INDEX(US_2_y,32))^2)</f>
        <v>18.659016587162352</v>
      </c>
      <c r="AJ29" s="9">
        <f>SQRT((INDEX(US_2_x,14)-INDEX(US_2_x,33))^2+(INDEX(US_2_y,14)-INDEX(US_2_y,33))^2)</f>
        <v>21.414107499496687</v>
      </c>
      <c r="AK29" s="9">
        <f>SQRT((INDEX(US_2_x,14)-INDEX(US_2_x,34))^2+(INDEX(US_2_y,14)-INDEX(US_2_y,34))^2)</f>
        <v>8.370095578904701</v>
      </c>
      <c r="AL29" s="9">
        <f>SQRT((INDEX(US_2_x,14)-INDEX(US_2_x,35))^2+(INDEX(US_2_y,14)-INDEX(US_2_y,35))^2)</f>
        <v>45.92568126876291</v>
      </c>
      <c r="AM29" s="9">
        <f>SQRT((INDEX(US_2_x,14)-INDEX(US_2_x,36))^2+(INDEX(US_2_y,14)-INDEX(US_2_y,36))^2)</f>
        <v>31.607011880277458</v>
      </c>
      <c r="AN29" s="9">
        <f>SQRT((INDEX(US_2_x,14)-INDEX(US_2_x,37))^2+(INDEX(US_2_y,14)-INDEX(US_2_y,37))^2)</f>
        <v>40.59076249591772</v>
      </c>
      <c r="AO29" s="9">
        <f>SQRT((INDEX(US_2_x,14)-INDEX(US_2_x,38))^2+(INDEX(US_2_y,14)-INDEX(US_2_y,38))^2)</f>
        <v>27.878452252591075</v>
      </c>
      <c r="AP29" s="9">
        <f>SQRT((INDEX(US_2_x,14)-INDEX(US_2_x,39))^2+(INDEX(US_2_y,14)-INDEX(US_2_y,39))^2)</f>
        <v>13.794274174453683</v>
      </c>
      <c r="AQ29" s="9">
        <f>SQRT((INDEX(US_2_x,14)-INDEX(US_2_x,40))^2+(INDEX(US_2_y,14)-INDEX(US_2_y,40))^2)</f>
        <v>16.620111311299937</v>
      </c>
      <c r="AR29" s="9">
        <f>SQRT((INDEX(US_2_x,14)-INDEX(US_2_x,41))^2+(INDEX(US_2_y,14)-INDEX(US_2_y,41))^2)</f>
        <v>19.313606602600153</v>
      </c>
      <c r="AS29" s="9">
        <f>SQRT((INDEX(US_2_x,14)-INDEX(US_2_x,42))^2+(INDEX(US_2_y,14)-INDEX(US_2_y,42))^2)</f>
        <v>27.35977339087442</v>
      </c>
      <c r="AT29" s="9">
        <f>SQRT((INDEX(US_2_x,14)-INDEX(US_2_x,43))^2+(INDEX(US_2_y,14)-INDEX(US_2_y,43))^2)</f>
        <v>39.14169132779012</v>
      </c>
      <c r="AU29" s="9">
        <f>SQRT((INDEX(US_2_x,14)-INDEX(US_2_x,44))^2+(INDEX(US_2_y,14)-INDEX(US_2_y,44))^2)</f>
        <v>31.3723206027224</v>
      </c>
      <c r="AV29" s="9">
        <f>SQRT((INDEX(US_2_x,14)-INDEX(US_2_x,45))^2+(INDEX(US_2_y,14)-INDEX(US_2_y,45))^2)</f>
        <v>46.46427121993844</v>
      </c>
      <c r="AW29" s="9">
        <f>SQRT((INDEX(US_2_x,14)-INDEX(US_2_x,46))^2+(INDEX(US_2_y,14)-INDEX(US_2_y,46))^2)</f>
        <v>23.949507301821466</v>
      </c>
      <c r="AX29" s="9">
        <f>SQRT((INDEX(US_2_x,14)-INDEX(US_2_x,47))^2+(INDEX(US_2_y,14)-INDEX(US_2_y,47))^2)</f>
        <v>13.505769137668539</v>
      </c>
      <c r="AY29" s="9">
        <f>SQRT((INDEX(US_2_x,14)-INDEX(US_2_x,48))^2+(INDEX(US_2_y,14)-INDEX(US_2_y,48))^2)</f>
        <v>15.91719196340862</v>
      </c>
      <c r="AZ29" s="9" t="s">
        <v>30</v>
      </c>
      <c r="BA29" s="34">
        <v>46.12</v>
      </c>
      <c r="BB29" s="34">
        <v>20.35</v>
      </c>
      <c r="BD29" s="19">
        <v>3321</v>
      </c>
      <c r="BE29" s="19">
        <v>9</v>
      </c>
      <c r="BF29" s="19">
        <v>41</v>
      </c>
      <c r="BG29" s="19">
        <v>34</v>
      </c>
      <c r="BH29" s="19">
        <v>35</v>
      </c>
      <c r="BI29" s="19">
        <v>48</v>
      </c>
      <c r="BJ29" s="19">
        <v>37</v>
      </c>
      <c r="BK29" s="19">
        <v>36</v>
      </c>
      <c r="BL29" s="19">
        <v>38</v>
      </c>
      <c r="BM29" s="19">
        <v>8</v>
      </c>
      <c r="BN29" s="19">
        <v>42</v>
      </c>
      <c r="BO29" s="19">
        <v>23</v>
      </c>
      <c r="BP29" s="19">
        <v>11</v>
      </c>
      <c r="BQ29" s="19">
        <v>21</v>
      </c>
      <c r="BR29" s="19">
        <v>25</v>
      </c>
      <c r="BS29" s="19">
        <v>12</v>
      </c>
      <c r="BT29" s="19">
        <v>3</v>
      </c>
      <c r="BU29" s="19">
        <v>43</v>
      </c>
      <c r="BV29" s="19">
        <v>7</v>
      </c>
      <c r="BW29" s="19">
        <v>27</v>
      </c>
      <c r="BX29" s="19">
        <v>40</v>
      </c>
      <c r="BY29" s="19">
        <v>47</v>
      </c>
      <c r="BZ29" s="19">
        <v>16</v>
      </c>
      <c r="CA29" s="19">
        <v>14</v>
      </c>
      <c r="CB29" s="19">
        <v>10</v>
      </c>
      <c r="CC29" s="19">
        <v>13</v>
      </c>
      <c r="CD29" s="19">
        <v>4</v>
      </c>
      <c r="CE29" s="19">
        <v>17</v>
      </c>
      <c r="CF29" s="19">
        <v>30</v>
      </c>
      <c r="CG29" s="19">
        <v>5</v>
      </c>
      <c r="CH29" s="19">
        <v>6</v>
      </c>
      <c r="CI29" s="19">
        <v>44</v>
      </c>
      <c r="CJ29" s="19">
        <v>24</v>
      </c>
      <c r="CK29" s="19">
        <v>15</v>
      </c>
      <c r="CL29" s="19">
        <v>29</v>
      </c>
      <c r="CM29" s="19">
        <v>45</v>
      </c>
      <c r="CN29" s="19">
        <v>28</v>
      </c>
      <c r="CO29" s="19">
        <v>19</v>
      </c>
      <c r="CP29" s="19">
        <v>31</v>
      </c>
      <c r="CQ29" s="19">
        <v>32</v>
      </c>
      <c r="CR29" s="19">
        <v>22</v>
      </c>
      <c r="CS29" s="19">
        <v>49</v>
      </c>
      <c r="CT29" s="19">
        <v>26</v>
      </c>
      <c r="CU29" s="19">
        <v>46</v>
      </c>
      <c r="CV29" s="19">
        <v>18</v>
      </c>
      <c r="CW29" s="19">
        <v>2</v>
      </c>
      <c r="CX29" s="19">
        <v>33</v>
      </c>
      <c r="CY29" s="19">
        <v>20</v>
      </c>
      <c r="CZ29" s="19">
        <v>39</v>
      </c>
      <c r="DA29" s="19">
        <v>1</v>
      </c>
      <c r="DB29" s="19">
        <v>393.0764971971512</v>
      </c>
    </row>
    <row r="30" spans="3:106" ht="15" thickBot="1" thickTop="1">
      <c r="C30" s="4">
        <v>15</v>
      </c>
      <c r="D30" s="9">
        <f>SQRT((INDEX(US_2_x,15)-INDEX(US_2_x,1))^2+(INDEX(US_2_y,15)-INDEX(US_2_y,1))^2)</f>
        <v>12.894452295464124</v>
      </c>
      <c r="E30" s="9">
        <f>SQRT((INDEX(US_2_x,15)-INDEX(US_2_x,2))^2+(INDEX(US_2_y,15)-INDEX(US_2_y,2))^2)</f>
        <v>49.061109852917106</v>
      </c>
      <c r="F30" s="9">
        <f>SQRT((INDEX(US_2_x,15)-INDEX(US_2_x,3))^2+(INDEX(US_2_y,15)-INDEX(US_2_y,3))^2)</f>
        <v>15.008564221803496</v>
      </c>
      <c r="G30" s="9">
        <f>SQRT((INDEX(US_2_x,15)-INDEX(US_2_x,4))^2+(INDEX(US_2_y,15)-INDEX(US_2_y,4))^2)</f>
        <v>62.2477951416755</v>
      </c>
      <c r="H30" s="9">
        <f>SQRT((INDEX(US_2_x,15)-INDEX(US_2_x,5))^2+(INDEX(US_2_y,15)-INDEX(US_2_y,5))^2)</f>
        <v>34.263312741181345</v>
      </c>
      <c r="I30" s="9">
        <f>SQRT((INDEX(US_2_x,15)-INDEX(US_2_x,6))^2+(INDEX(US_2_y,15)-INDEX(US_2_y,6))^2)</f>
        <v>21.773254235414605</v>
      </c>
      <c r="J30" s="9">
        <f>SQRT((INDEX(US_2_x,15)-INDEX(US_2_x,7))^2+(INDEX(US_2_y,15)-INDEX(US_2_y,7))^2)</f>
        <v>16.03173415448248</v>
      </c>
      <c r="K30" s="9">
        <f>SQRT((INDEX(US_2_x,15)-INDEX(US_2_x,8))^2+(INDEX(US_2_y,15)-INDEX(US_2_y,8))^2)</f>
        <v>16.866976611117952</v>
      </c>
      <c r="L30" s="9">
        <f>SQRT((INDEX(US_2_x,15)-INDEX(US_2_x,9))^2+(INDEX(US_2_y,15)-INDEX(US_2_y,9))^2)</f>
        <v>9.697448117932883</v>
      </c>
      <c r="M30" s="9">
        <f>SQRT((INDEX(US_2_x,15)-INDEX(US_2_x,10))^2+(INDEX(US_2_y,15)-INDEX(US_2_y,10))^2)</f>
        <v>52.732514637555454</v>
      </c>
      <c r="N30" s="9">
        <f>SQRT((INDEX(US_2_x,15)-INDEX(US_2_x,11))^2+(INDEX(US_2_y,15)-INDEX(US_2_y,11))^2)</f>
        <v>8.82366137156226</v>
      </c>
      <c r="O30" s="20">
        <f>SQRT((INDEX(US_2_x,15)-INDEX(US_2_x,12))^2+(INDEX(US_2_y,15)-INDEX(US_2_y,12))^2)</f>
        <v>4.052949543233915</v>
      </c>
      <c r="P30" s="9">
        <f>SQRT((INDEX(US_2_x,15)-INDEX(US_2_x,13))^2+(INDEX(US_2_y,15)-INDEX(US_2_y,13))^2)</f>
        <v>16.410246798875388</v>
      </c>
      <c r="Q30" s="9">
        <f>SQRT((INDEX(US_2_x,15)-INDEX(US_2_x,14))^2+(INDEX(US_2_y,15)-INDEX(US_2_y,14))^2)</f>
        <v>18.52060744144209</v>
      </c>
      <c r="R30" s="9" t="s">
        <v>30</v>
      </c>
      <c r="S30" s="9">
        <f>SQRT((INDEX(US_2_x,15)-INDEX(US_2_x,16))^2+(INDEX(US_2_y,15)-INDEX(US_2_y,16))^2)</f>
        <v>20.282494915566968</v>
      </c>
      <c r="T30" s="9">
        <f>SQRT((INDEX(US_2_x,15)-INDEX(US_2_x,17))^2+(INDEX(US_2_y,15)-INDEX(US_2_y,17))^2)</f>
        <v>28.022664041807307</v>
      </c>
      <c r="U30" s="9">
        <f>SQRT((INDEX(US_2_x,15)-INDEX(US_2_x,18))^2+(INDEX(US_2_y,15)-INDEX(US_2_y,18))^2)</f>
        <v>14.373148576425422</v>
      </c>
      <c r="V30" s="9">
        <f>SQRT((INDEX(US_2_x,15)-INDEX(US_2_x,19))^2+(INDEX(US_2_y,15)-INDEX(US_2_y,19))^2)</f>
        <v>24.657301149963672</v>
      </c>
      <c r="W30" s="9">
        <f>SQRT((INDEX(US_2_x,15)-INDEX(US_2_x,20))^2+(INDEX(US_2_y,15)-INDEX(US_2_y,20))^2)</f>
        <v>9.852375348107683</v>
      </c>
      <c r="X30" s="9">
        <f>SQRT((INDEX(US_2_x,15)-INDEX(US_2_x,21))^2+(INDEX(US_2_y,15)-INDEX(US_2_y,21))^2)</f>
        <v>19.86225566243673</v>
      </c>
      <c r="Y30" s="9">
        <f>SQRT((INDEX(US_2_x,15)-INDEX(US_2_x,22))^2+(INDEX(US_2_y,15)-INDEX(US_2_y,22))^2)</f>
        <v>15.921196563072764</v>
      </c>
      <c r="Z30" s="9">
        <f>SQRT((INDEX(US_2_x,15)-INDEX(US_2_x,23))^2+(INDEX(US_2_y,15)-INDEX(US_2_y,23))^2)</f>
        <v>12.52559379829954</v>
      </c>
      <c r="AA30" s="9">
        <f>SQRT((INDEX(US_2_x,15)-INDEX(US_2_x,24))^2+(INDEX(US_2_y,15)-INDEX(US_2_y,24))^2)</f>
        <v>47.156836195826365</v>
      </c>
      <c r="AB30" s="9">
        <f>SQRT((INDEX(US_2_x,15)-INDEX(US_2_x,25))^2+(INDEX(US_2_y,15)-INDEX(US_2_y,25))^2)</f>
        <v>20.716951995889744</v>
      </c>
      <c r="AC30" s="9">
        <f>SQRT((INDEX(US_2_x,15)-INDEX(US_2_x,26))^2+(INDEX(US_2_y,15)-INDEX(US_2_y,26))^2)</f>
        <v>59.147200271864094</v>
      </c>
      <c r="AD30" s="9">
        <f>SQRT((INDEX(US_2_x,15)-INDEX(US_2_x,27))^2+(INDEX(US_2_y,15)-INDEX(US_2_y,27))^2)</f>
        <v>24.539274642906623</v>
      </c>
      <c r="AE30" s="9">
        <f>SQRT((INDEX(US_2_x,15)-INDEX(US_2_x,28))^2+(INDEX(US_2_y,15)-INDEX(US_2_y,28))^2)</f>
        <v>17.636439549977204</v>
      </c>
      <c r="AF30" s="9">
        <f>SQRT((INDEX(US_2_x,15)-INDEX(US_2_x,29))^2+(INDEX(US_2_y,15)-INDEX(US_2_y,29))^2)</f>
        <v>37.09747835096073</v>
      </c>
      <c r="AG30" s="9">
        <f>SQRT((INDEX(US_2_x,15)-INDEX(US_2_x,30))^2+(INDEX(US_2_y,15)-INDEX(US_2_y,30))^2)</f>
        <v>20.816709634329825</v>
      </c>
      <c r="AH30" s="9">
        <f>SQRT((INDEX(US_2_x,15)-INDEX(US_2_x,31))^2+(INDEX(US_2_y,15)-INDEX(US_2_y,31))^2)</f>
        <v>12.037973251340947</v>
      </c>
      <c r="AI30" s="9">
        <f>SQRT((INDEX(US_2_x,15)-INDEX(US_2_x,32))^2+(INDEX(US_2_y,15)-INDEX(US_2_y,32))^2)</f>
        <v>31.637458810719924</v>
      </c>
      <c r="AJ30" s="9">
        <f>SQRT((INDEX(US_2_x,15)-INDEX(US_2_x,33))^2+(INDEX(US_2_y,15)-INDEX(US_2_y,33))^2)</f>
        <v>4.963275128380456</v>
      </c>
      <c r="AK30" s="9">
        <f>SQRT((INDEX(US_2_x,15)-INDEX(US_2_x,34))^2+(INDEX(US_2_y,15)-INDEX(US_2_y,34))^2)</f>
        <v>22.867763336190094</v>
      </c>
      <c r="AL30" s="9">
        <f>SQRT((INDEX(US_2_x,15)-INDEX(US_2_x,35))^2+(INDEX(US_2_y,15)-INDEX(US_2_y,35))^2)</f>
        <v>63.41219519934632</v>
      </c>
      <c r="AM30" s="9">
        <f>SQRT((INDEX(US_2_x,15)-INDEX(US_2_x,36))^2+(INDEX(US_2_y,15)-INDEX(US_2_y,36))^2)</f>
        <v>14.188083027667977</v>
      </c>
      <c r="AN30" s="9">
        <f>SQRT((INDEX(US_2_x,15)-INDEX(US_2_x,37))^2+(INDEX(US_2_y,15)-INDEX(US_2_y,37))^2)</f>
        <v>23.786485658877822</v>
      </c>
      <c r="AO30" s="9">
        <f>SQRT((INDEX(US_2_x,15)-INDEX(US_2_x,38))^2+(INDEX(US_2_y,15)-INDEX(US_2_y,38))^2)</f>
        <v>11.33466364741363</v>
      </c>
      <c r="AP30" s="9">
        <f>SQRT((INDEX(US_2_x,15)-INDEX(US_2_x,39))^2+(INDEX(US_2_y,15)-INDEX(US_2_y,39))^2)</f>
        <v>28.66720251437171</v>
      </c>
      <c r="AQ30" s="9">
        <f>SQRT((INDEX(US_2_x,15)-INDEX(US_2_x,40))^2+(INDEX(US_2_y,15)-INDEX(US_2_y,40))^2)</f>
        <v>5.53244972864643</v>
      </c>
      <c r="AR30" s="9">
        <f>SQRT((INDEX(US_2_x,15)-INDEX(US_2_x,41))^2+(INDEX(US_2_y,15)-INDEX(US_2_y,41))^2)</f>
        <v>28.847691415432188</v>
      </c>
      <c r="AS30" s="9">
        <f>SQRT((INDEX(US_2_x,15)-INDEX(US_2_x,42))^2+(INDEX(US_2_y,15)-INDEX(US_2_y,42))^2)</f>
        <v>45.68890127810035</v>
      </c>
      <c r="AT30" s="9">
        <f>SQRT((INDEX(US_2_x,15)-INDEX(US_2_x,43))^2+(INDEX(US_2_y,15)-INDEX(US_2_y,43))^2)</f>
        <v>24.044011728494898</v>
      </c>
      <c r="AU30" s="9">
        <f>SQRT((INDEX(US_2_x,15)-INDEX(US_2_x,44))^2+(INDEX(US_2_y,15)-INDEX(US_2_y,44))^2)</f>
        <v>12.881692435390628</v>
      </c>
      <c r="AV30" s="9">
        <f>SQRT((INDEX(US_2_x,15)-INDEX(US_2_x,45))^2+(INDEX(US_2_y,15)-INDEX(US_2_y,45))^2)</f>
        <v>63.37003866181557</v>
      </c>
      <c r="AW30" s="9">
        <f>SQRT((INDEX(US_2_x,15)-INDEX(US_2_x,46))^2+(INDEX(US_2_y,15)-INDEX(US_2_y,46))^2)</f>
        <v>5.547071299343461</v>
      </c>
      <c r="AX30" s="9">
        <f>SQRT((INDEX(US_2_x,15)-INDEX(US_2_x,47))^2+(INDEX(US_2_y,15)-INDEX(US_2_y,47))^2)</f>
        <v>12.964833203709176</v>
      </c>
      <c r="AY30" s="9">
        <f>SQRT((INDEX(US_2_x,15)-INDEX(US_2_x,48))^2+(INDEX(US_2_y,15)-INDEX(US_2_y,48))^2)</f>
        <v>34.05592019018132</v>
      </c>
      <c r="AZ30" s="9" t="s">
        <v>30</v>
      </c>
      <c r="BA30" s="34">
        <v>63.47</v>
      </c>
      <c r="BB30" s="34">
        <v>26.83</v>
      </c>
      <c r="BD30" s="19">
        <v>3276</v>
      </c>
      <c r="BE30" s="19">
        <v>9</v>
      </c>
      <c r="BF30" s="19">
        <v>41</v>
      </c>
      <c r="BG30" s="19">
        <v>34</v>
      </c>
      <c r="BH30" s="19">
        <v>35</v>
      </c>
      <c r="BI30" s="19">
        <v>48</v>
      </c>
      <c r="BJ30" s="19">
        <v>30</v>
      </c>
      <c r="BK30" s="19">
        <v>18</v>
      </c>
      <c r="BL30" s="19">
        <v>22</v>
      </c>
      <c r="BM30" s="19">
        <v>40</v>
      </c>
      <c r="BN30" s="19">
        <v>42</v>
      </c>
      <c r="BO30" s="19">
        <v>12</v>
      </c>
      <c r="BP30" s="19">
        <v>15</v>
      </c>
      <c r="BQ30" s="19">
        <v>25</v>
      </c>
      <c r="BR30" s="19">
        <v>23</v>
      </c>
      <c r="BS30" s="19">
        <v>33</v>
      </c>
      <c r="BT30" s="19">
        <v>3</v>
      </c>
      <c r="BU30" s="19">
        <v>27</v>
      </c>
      <c r="BV30" s="19">
        <v>44</v>
      </c>
      <c r="BW30" s="19">
        <v>37</v>
      </c>
      <c r="BX30" s="19">
        <v>47</v>
      </c>
      <c r="BY30" s="19">
        <v>13</v>
      </c>
      <c r="BZ30" s="19">
        <v>16</v>
      </c>
      <c r="CA30" s="19">
        <v>11</v>
      </c>
      <c r="CB30" s="19">
        <v>10</v>
      </c>
      <c r="CC30" s="19">
        <v>14</v>
      </c>
      <c r="CD30" s="19">
        <v>4</v>
      </c>
      <c r="CE30" s="19">
        <v>19</v>
      </c>
      <c r="CF30" s="19">
        <v>36</v>
      </c>
      <c r="CG30" s="19">
        <v>5</v>
      </c>
      <c r="CH30" s="19">
        <v>28</v>
      </c>
      <c r="CI30" s="19">
        <v>38</v>
      </c>
      <c r="CJ30" s="19">
        <v>24</v>
      </c>
      <c r="CK30" s="19">
        <v>46</v>
      </c>
      <c r="CL30" s="19">
        <v>29</v>
      </c>
      <c r="CM30" s="19">
        <v>45</v>
      </c>
      <c r="CN30" s="19">
        <v>7</v>
      </c>
      <c r="CO30" s="19">
        <v>6</v>
      </c>
      <c r="CP30" s="19">
        <v>8</v>
      </c>
      <c r="CQ30" s="19">
        <v>32</v>
      </c>
      <c r="CR30" s="19">
        <v>20</v>
      </c>
      <c r="CS30" s="19">
        <v>49</v>
      </c>
      <c r="CT30" s="19">
        <v>26</v>
      </c>
      <c r="CU30" s="19">
        <v>17</v>
      </c>
      <c r="CV30" s="19">
        <v>31</v>
      </c>
      <c r="CW30" s="19">
        <v>2</v>
      </c>
      <c r="CX30" s="19">
        <v>43</v>
      </c>
      <c r="CY30" s="19">
        <v>21</v>
      </c>
      <c r="CZ30" s="19">
        <v>39</v>
      </c>
      <c r="DA30" s="19">
        <v>1</v>
      </c>
      <c r="DB30" s="19">
        <v>394.00426828861237</v>
      </c>
    </row>
    <row r="31" spans="3:54" ht="15" thickBot="1" thickTop="1">
      <c r="C31" s="4">
        <v>16</v>
      </c>
      <c r="D31" s="9">
        <f>SQRT((INDEX(US_2_x,16)-INDEX(US_2_x,1))^2+(INDEX(US_2_y,16)-INDEX(US_2_y,1))^2)</f>
        <v>10.038849535678878</v>
      </c>
      <c r="E31" s="9">
        <f>SQRT((INDEX(US_2_x,16)-INDEX(US_2_x,2))^2+(INDEX(US_2_y,16)-INDEX(US_2_y,2))^2)</f>
        <v>39.296510023156</v>
      </c>
      <c r="F31" s="9">
        <f>SQRT((INDEX(US_2_x,16)-INDEX(US_2_x,3))^2+(INDEX(US_2_y,16)-INDEX(US_2_y,3))^2)</f>
        <v>9.502389173255326</v>
      </c>
      <c r="G31" s="9">
        <f>SQRT((INDEX(US_2_x,16)-INDEX(US_2_x,4))^2+(INDEX(US_2_y,16)-INDEX(US_2_y,4))^2)</f>
        <v>57.08591770305528</v>
      </c>
      <c r="H31" s="9">
        <f>SQRT((INDEX(US_2_x,16)-INDEX(US_2_x,5))^2+(INDEX(US_2_y,16)-INDEX(US_2_y,5))^2)</f>
        <v>31.782463718220463</v>
      </c>
      <c r="I31" s="9">
        <f>SQRT((INDEX(US_2_x,16)-INDEX(US_2_x,6))^2+(INDEX(US_2_y,16)-INDEX(US_2_y,6))^2)</f>
        <v>40.75478131458934</v>
      </c>
      <c r="J31" s="9">
        <f>SQRT((INDEX(US_2_x,16)-INDEX(US_2_x,7))^2+(INDEX(US_2_y,16)-INDEX(US_2_y,7))^2)</f>
        <v>33.81325923362017</v>
      </c>
      <c r="K31" s="9">
        <f>SQRT((INDEX(US_2_x,16)-INDEX(US_2_x,8))^2+(INDEX(US_2_y,16)-INDEX(US_2_y,8))^2)</f>
        <v>13.0375035953974</v>
      </c>
      <c r="L31" s="9">
        <f>SQRT((INDEX(US_2_x,16)-INDEX(US_2_x,9))^2+(INDEX(US_2_y,16)-INDEX(US_2_y,9))^2)</f>
        <v>14.506333099718896</v>
      </c>
      <c r="M31" s="9">
        <f>SQRT((INDEX(US_2_x,16)-INDEX(US_2_x,10))^2+(INDEX(US_2_y,16)-INDEX(US_2_y,10))^2)</f>
        <v>51.8212552916272</v>
      </c>
      <c r="N31" s="9">
        <f>SQRT((INDEX(US_2_x,16)-INDEX(US_2_x,11))^2+(INDEX(US_2_y,16)-INDEX(US_2_y,11))^2)</f>
        <v>20.3967889629716</v>
      </c>
      <c r="O31" s="9">
        <f>SQRT((INDEX(US_2_x,16)-INDEX(US_2_x,12))^2+(INDEX(US_2_y,16)-INDEX(US_2_y,12))^2)</f>
        <v>22.071565417976135</v>
      </c>
      <c r="P31" s="9">
        <f>SQRT((INDEX(US_2_x,16)-INDEX(US_2_x,13))^2+(INDEX(US_2_y,16)-INDEX(US_2_y,13))^2)</f>
        <v>24.459816025473287</v>
      </c>
      <c r="Q31" s="9">
        <f>SQRT((INDEX(US_2_x,16)-INDEX(US_2_x,14))^2+(INDEX(US_2_y,16)-INDEX(US_2_y,14))^2)</f>
        <v>20.250878993268415</v>
      </c>
      <c r="R31" s="9">
        <f>SQRT((INDEX(US_2_x,16)-INDEX(US_2_x,15))^2+(INDEX(US_2_y,16)-INDEX(US_2_y,15))^2)</f>
        <v>20.282494915566968</v>
      </c>
      <c r="S31" s="9" t="s">
        <v>30</v>
      </c>
      <c r="T31" s="9">
        <f>SQRT((INDEX(US_2_x,16)-INDEX(US_2_x,17))^2+(INDEX(US_2_y,16)-INDEX(US_2_y,17))^2)</f>
        <v>47.58911745346829</v>
      </c>
      <c r="U31" s="9">
        <f>SQRT((INDEX(US_2_x,16)-INDEX(US_2_x,18))^2+(INDEX(US_2_y,16)-INDEX(US_2_y,18))^2)</f>
        <v>32.19979192479355</v>
      </c>
      <c r="V31" s="9">
        <f>SQRT((INDEX(US_2_x,16)-INDEX(US_2_x,19))^2+(INDEX(US_2_y,16)-INDEX(US_2_y,19))^2)</f>
        <v>43.67555494781949</v>
      </c>
      <c r="W31" s="9">
        <f>SQRT((INDEX(US_2_x,16)-INDEX(US_2_x,20))^2+(INDEX(US_2_y,16)-INDEX(US_2_y,20))^2)</f>
        <v>28.993987307716058</v>
      </c>
      <c r="X31" s="9">
        <f>SQRT((INDEX(US_2_x,16)-INDEX(US_2_x,21))^2+(INDEX(US_2_y,16)-INDEX(US_2_y,21))^2)</f>
        <v>31.50773873193695</v>
      </c>
      <c r="Y31" s="9">
        <f>SQRT((INDEX(US_2_x,16)-INDEX(US_2_x,22))^2+(INDEX(US_2_y,16)-INDEX(US_2_y,22))^2)</f>
        <v>4.410408144378476</v>
      </c>
      <c r="Z31" s="9">
        <f>SQRT((INDEX(US_2_x,16)-INDEX(US_2_x,23))^2+(INDEX(US_2_y,16)-INDEX(US_2_y,23))^2)</f>
        <v>17.645489508653476</v>
      </c>
      <c r="AA31" s="9">
        <f>SQRT((INDEX(US_2_x,16)-INDEX(US_2_x,24))^2+(INDEX(US_2_y,16)-INDEX(US_2_y,24))^2)</f>
        <v>49.59463277412184</v>
      </c>
      <c r="AB31" s="9">
        <f>SQRT((INDEX(US_2_x,16)-INDEX(US_2_x,25))^2+(INDEX(US_2_y,16)-INDEX(US_2_y,25))^2)</f>
        <v>24.438512638865728</v>
      </c>
      <c r="AC31" s="9">
        <f>SQRT((INDEX(US_2_x,16)-INDEX(US_2_x,26))^2+(INDEX(US_2_y,16)-INDEX(US_2_y,26))^2)</f>
        <v>54.42443660709774</v>
      </c>
      <c r="AD31" s="9">
        <f>SQRT((INDEX(US_2_x,16)-INDEX(US_2_x,27))^2+(INDEX(US_2_y,16)-INDEX(US_2_y,27))^2)</f>
        <v>43.95361646099215</v>
      </c>
      <c r="AE31" s="9">
        <f>SQRT((INDEX(US_2_x,16)-INDEX(US_2_x,28))^2+(INDEX(US_2_y,16)-INDEX(US_2_y,28))^2)</f>
        <v>36.0911346455054</v>
      </c>
      <c r="AF31" s="9">
        <f>SQRT((INDEX(US_2_x,16)-INDEX(US_2_x,29))^2+(INDEX(US_2_y,16)-INDEX(US_2_y,29))^2)</f>
        <v>29.312913536528573</v>
      </c>
      <c r="AG31" s="9">
        <f>SQRT((INDEX(US_2_x,16)-INDEX(US_2_x,30))^2+(INDEX(US_2_y,16)-INDEX(US_2_y,30))^2)</f>
        <v>40.3393034149079</v>
      </c>
      <c r="AH31" s="9">
        <f>SQRT((INDEX(US_2_x,16)-INDEX(US_2_x,31))^2+(INDEX(US_2_y,16)-INDEX(US_2_y,31))^2)</f>
        <v>25.716275002418218</v>
      </c>
      <c r="AI31" s="9">
        <f>SQRT((INDEX(US_2_x,16)-INDEX(US_2_x,32))^2+(INDEX(US_2_y,16)-INDEX(US_2_y,32))^2)</f>
        <v>38.909561806836116</v>
      </c>
      <c r="AJ31" s="9">
        <f>SQRT((INDEX(US_2_x,16)-INDEX(US_2_x,33))^2+(INDEX(US_2_y,16)-INDEX(US_2_y,33))^2)</f>
        <v>25.24237904794237</v>
      </c>
      <c r="AK31" s="9">
        <f>SQRT((INDEX(US_2_x,16)-INDEX(US_2_x,34))^2+(INDEX(US_2_y,16)-INDEX(US_2_y,34))^2)</f>
        <v>15.89604353290466</v>
      </c>
      <c r="AL31" s="9">
        <f>SQRT((INDEX(US_2_x,16)-INDEX(US_2_x,35))^2+(INDEX(US_2_y,16)-INDEX(US_2_y,35))^2)</f>
        <v>62.77600258060401</v>
      </c>
      <c r="AM31" s="9">
        <f>SQRT((INDEX(US_2_x,16)-INDEX(US_2_x,36))^2+(INDEX(US_2_y,16)-INDEX(US_2_y,36))^2)</f>
        <v>33.12699956229057</v>
      </c>
      <c r="AN31" s="9">
        <f>SQRT((INDEX(US_2_x,16)-INDEX(US_2_x,37))^2+(INDEX(US_2_y,16)-INDEX(US_2_y,37))^2)</f>
        <v>42.60575195909586</v>
      </c>
      <c r="AO31" s="9">
        <f>SQRT((INDEX(US_2_x,16)-INDEX(US_2_x,38))^2+(INDEX(US_2_y,16)-INDEX(US_2_y,38))^2)</f>
        <v>20.32695255073913</v>
      </c>
      <c r="AP31" s="9">
        <f>SQRT((INDEX(US_2_x,16)-INDEX(US_2_x,39))^2+(INDEX(US_2_y,16)-INDEX(US_2_y,39))^2)</f>
        <v>33.97900675417102</v>
      </c>
      <c r="AQ31" s="9">
        <f>SQRT((INDEX(US_2_x,16)-INDEX(US_2_x,40))^2+(INDEX(US_2_y,16)-INDEX(US_2_y,40))^2)</f>
        <v>14.751447386612611</v>
      </c>
      <c r="AR31" s="20">
        <f>SQRT((INDEX(US_2_x,16)-INDEX(US_2_x,41))^2+(INDEX(US_2_y,16)-INDEX(US_2_y,41))^2)</f>
        <v>12.404535460870752</v>
      </c>
      <c r="AS31" s="9">
        <f>SQRT((INDEX(US_2_x,16)-INDEX(US_2_x,42))^2+(INDEX(US_2_y,16)-INDEX(US_2_y,42))^2)</f>
        <v>42.865465120537294</v>
      </c>
      <c r="AT31" s="9">
        <f>SQRT((INDEX(US_2_x,16)-INDEX(US_2_x,43))^2+(INDEX(US_2_y,16)-INDEX(US_2_y,43))^2)</f>
        <v>43.89627432937789</v>
      </c>
      <c r="AU31" s="9">
        <f>SQRT((INDEX(US_2_x,16)-INDEX(US_2_x,44))^2+(INDEX(US_2_y,16)-INDEX(US_2_y,44))^2)</f>
        <v>29.275423139555134</v>
      </c>
      <c r="AV31" s="9">
        <f>SQRT((INDEX(US_2_x,16)-INDEX(US_2_x,45))^2+(INDEX(US_2_y,16)-INDEX(US_2_y,45))^2)</f>
        <v>64.1883618734736</v>
      </c>
      <c r="AW31" s="9">
        <f>SQRT((INDEX(US_2_x,16)-INDEX(US_2_x,46))^2+(INDEX(US_2_y,16)-INDEX(US_2_y,46))^2)</f>
        <v>24.271332884701653</v>
      </c>
      <c r="AX31" s="9">
        <f>SQRT((INDEX(US_2_x,16)-INDEX(US_2_x,47))^2+(INDEX(US_2_y,16)-INDEX(US_2_y,47))^2)</f>
        <v>27.482730941447574</v>
      </c>
      <c r="AY31" s="9">
        <f>SQRT((INDEX(US_2_x,16)-INDEX(US_2_x,48))^2+(INDEX(US_2_y,16)-INDEX(US_2_y,48))^2)</f>
        <v>33.3640300323567</v>
      </c>
      <c r="AZ31" s="9" t="s">
        <v>30</v>
      </c>
      <c r="BA31" s="34">
        <v>61.07</v>
      </c>
      <c r="BB31" s="34">
        <v>6.69</v>
      </c>
    </row>
    <row r="32" spans="3:54" ht="15" thickBot="1" thickTop="1">
      <c r="C32" s="4">
        <v>17</v>
      </c>
      <c r="D32" s="9">
        <f>SQRT((INDEX(US_2_x,17)-INDEX(US_2_x,1))^2+(INDEX(US_2_y,17)-INDEX(US_2_y,1))^2)</f>
        <v>38.32687046968485</v>
      </c>
      <c r="E32" s="9">
        <f>SQRT((INDEX(US_2_x,17)-INDEX(US_2_x,2))^2+(INDEX(US_2_y,17)-INDEX(US_2_y,2))^2)</f>
        <v>74.62785002932887</v>
      </c>
      <c r="F32" s="9">
        <f>SQRT((INDEX(US_2_x,17)-INDEX(US_2_x,3))^2+(INDEX(US_2_y,17)-INDEX(US_2_y,3))^2)</f>
        <v>42.97459831109536</v>
      </c>
      <c r="G32" s="9">
        <f>SQRT((INDEX(US_2_x,17)-INDEX(US_2_x,4))^2+(INDEX(US_2_y,17)-INDEX(US_2_y,4))^2)</f>
        <v>84.16991683493575</v>
      </c>
      <c r="H32" s="9">
        <f>SQRT((INDEX(US_2_x,17)-INDEX(US_2_x,5))^2+(INDEX(US_2_y,17)-INDEX(US_2_y,5))^2)</f>
        <v>57.483424567435094</v>
      </c>
      <c r="I32" s="9">
        <f>SQRT((INDEX(US_2_x,17)-INDEX(US_2_x,6))^2+(INDEX(US_2_y,17)-INDEX(US_2_y,6))^2)</f>
        <v>7.2600619832064845</v>
      </c>
      <c r="J32" s="9">
        <f>SQRT((INDEX(US_2_x,17)-INDEX(US_2_x,7))^2+(INDEX(US_2_y,17)-INDEX(US_2_y,7))^2)</f>
        <v>14.684917432522397</v>
      </c>
      <c r="K32" s="9">
        <f>SQRT((INDEX(US_2_x,17)-INDEX(US_2_x,8))^2+(INDEX(US_2_y,17)-INDEX(US_2_y,8))^2)</f>
        <v>39.312557790100605</v>
      </c>
      <c r="L32" s="9">
        <f>SQRT((INDEX(US_2_x,17)-INDEX(US_2_x,9))^2+(INDEX(US_2_y,17)-INDEX(US_2_y,9))^2)</f>
        <v>33.75169625366998</v>
      </c>
      <c r="M32" s="9">
        <f>SQRT((INDEX(US_2_x,17)-INDEX(US_2_x,10))^2+(INDEX(US_2_y,17)-INDEX(US_2_y,10))^2)</f>
        <v>72.15623742962211</v>
      </c>
      <c r="N32" s="9">
        <f>SQRT((INDEX(US_2_x,17)-INDEX(US_2_x,11))^2+(INDEX(US_2_y,17)-INDEX(US_2_y,11))^2)</f>
        <v>33.52392131001384</v>
      </c>
      <c r="O32" s="9">
        <f>SQRT((INDEX(US_2_x,17)-INDEX(US_2_x,12))^2+(INDEX(US_2_y,17)-INDEX(US_2_y,12))^2)</f>
        <v>28.234030884731993</v>
      </c>
      <c r="P32" s="9">
        <f>SQRT((INDEX(US_2_x,17)-INDEX(US_2_x,13))^2+(INDEX(US_2_y,17)-INDEX(US_2_y,13))^2)</f>
        <v>38.391568084671924</v>
      </c>
      <c r="Q32" s="9">
        <f>SQRT((INDEX(US_2_x,17)-INDEX(US_2_x,14))^2+(INDEX(US_2_y,17)-INDEX(US_2_y,14))^2)</f>
        <v>43.4858620703327</v>
      </c>
      <c r="R32" s="9">
        <f>SQRT((INDEX(US_2_x,17)-INDEX(US_2_x,15))^2+(INDEX(US_2_y,17)-INDEX(US_2_y,15))^2)</f>
        <v>28.022664041807307</v>
      </c>
      <c r="S32" s="9">
        <f>SQRT((INDEX(US_2_x,17)-INDEX(US_2_x,16))^2+(INDEX(US_2_y,17)-INDEX(US_2_y,16))^2)</f>
        <v>47.58911745346829</v>
      </c>
      <c r="T32" s="9" t="s">
        <v>30</v>
      </c>
      <c r="U32" s="9">
        <f>SQRT((INDEX(US_2_x,17)-INDEX(US_2_x,18))^2+(INDEX(US_2_y,17)-INDEX(US_2_y,18))^2)</f>
        <v>16.009487811919534</v>
      </c>
      <c r="V32" s="9">
        <f>SQRT((INDEX(US_2_x,17)-INDEX(US_2_x,19))^2+(INDEX(US_2_y,17)-INDEX(US_2_y,19))^2)</f>
        <v>4.766151487311334</v>
      </c>
      <c r="W32" s="9">
        <f>SQRT((INDEX(US_2_x,17)-INDEX(US_2_x,20))^2+(INDEX(US_2_y,17)-INDEX(US_2_y,20))^2)</f>
        <v>23.58315076489993</v>
      </c>
      <c r="X32" s="9">
        <f>SQRT((INDEX(US_2_x,17)-INDEX(US_2_x,21))^2+(INDEX(US_2_y,17)-INDEX(US_2_y,21))^2)</f>
        <v>36.16435952702606</v>
      </c>
      <c r="Y32" s="9">
        <f>SQRT((INDEX(US_2_x,17)-INDEX(US_2_x,22))^2+(INDEX(US_2_y,17)-INDEX(US_2_y,22))^2)</f>
        <v>43.448332534172124</v>
      </c>
      <c r="Z32" s="9">
        <f>SQRT((INDEX(US_2_x,17)-INDEX(US_2_x,23))^2+(INDEX(US_2_y,17)-INDEX(US_2_y,23))^2)</f>
        <v>38.509411836588725</v>
      </c>
      <c r="AA32" s="9">
        <f>SQRT((INDEX(US_2_x,17)-INDEX(US_2_x,24))^2+(INDEX(US_2_y,17)-INDEX(US_2_y,24))^2)</f>
        <v>64.3250410027075</v>
      </c>
      <c r="AB32" s="9">
        <f>SQRT((INDEX(US_2_x,17)-INDEX(US_2_x,25))^2+(INDEX(US_2_y,17)-INDEX(US_2_y,25))^2)</f>
        <v>43.712080710027976</v>
      </c>
      <c r="AC32" s="9">
        <f>SQRT((INDEX(US_2_x,17)-INDEX(US_2_x,26))^2+(INDEX(US_2_y,17)-INDEX(US_2_y,26))^2)</f>
        <v>80.9714641092774</v>
      </c>
      <c r="AD32" s="20">
        <f>SQRT((INDEX(US_2_x,17)-INDEX(US_2_x,27))^2+(INDEX(US_2_y,17)-INDEX(US_2_y,27))^2)</f>
        <v>3.692709032675069</v>
      </c>
      <c r="AE32" s="9">
        <f>SQRT((INDEX(US_2_x,17)-INDEX(US_2_x,28))^2+(INDEX(US_2_y,17)-INDEX(US_2_y,28))^2)</f>
        <v>12.050348542677098</v>
      </c>
      <c r="AF32" s="9">
        <f>SQRT((INDEX(US_2_x,17)-INDEX(US_2_x,29))^2+(INDEX(US_2_y,17)-INDEX(US_2_y,29))^2)</f>
        <v>62.66381731110866</v>
      </c>
      <c r="AG32" s="9">
        <f>SQRT((INDEX(US_2_x,17)-INDEX(US_2_x,30))^2+(INDEX(US_2_y,17)-INDEX(US_2_y,30))^2)</f>
        <v>7.257857810676648</v>
      </c>
      <c r="AH32" s="9">
        <f>SQRT((INDEX(US_2_x,17)-INDEX(US_2_x,31))^2+(INDEX(US_2_y,17)-INDEX(US_2_y,31))^2)</f>
        <v>23.839137987771288</v>
      </c>
      <c r="AI32" s="9">
        <f>SQRT((INDEX(US_2_x,17)-INDEX(US_2_x,32))^2+(INDEX(US_2_y,17)-INDEX(US_2_y,32))^2)</f>
        <v>47.531670494523965</v>
      </c>
      <c r="AJ32" s="9">
        <f>SQRT((INDEX(US_2_x,17)-INDEX(US_2_x,33))^2+(INDEX(US_2_y,17)-INDEX(US_2_y,33))^2)</f>
        <v>23.34169231225534</v>
      </c>
      <c r="AK32" s="9">
        <f>SQRT((INDEX(US_2_x,17)-INDEX(US_2_x,34))^2+(INDEX(US_2_y,17)-INDEX(US_2_y,34))^2)</f>
        <v>49.90611685955941</v>
      </c>
      <c r="AL32" s="9">
        <f>SQRT((INDEX(US_2_x,17)-INDEX(US_2_x,35))^2+(INDEX(US_2_y,17)-INDEX(US_2_y,35))^2)</f>
        <v>81.47807557864876</v>
      </c>
      <c r="AM32" s="9">
        <f>SQRT((INDEX(US_2_x,17)-INDEX(US_2_x,36))^2+(INDEX(US_2_y,17)-INDEX(US_2_y,36))^2)</f>
        <v>14.511354175265659</v>
      </c>
      <c r="AN32" s="9">
        <f>SQRT((INDEX(US_2_x,17)-INDEX(US_2_x,37))^2+(INDEX(US_2_y,17)-INDEX(US_2_y,37))^2)</f>
        <v>6.080476954976478</v>
      </c>
      <c r="AO32" s="9">
        <f>SQRT((INDEX(US_2_x,17)-INDEX(US_2_x,38))^2+(INDEX(US_2_y,17)-INDEX(US_2_y,38))^2)</f>
        <v>29.48145349198374</v>
      </c>
      <c r="AP32" s="9">
        <f>SQRT((INDEX(US_2_x,17)-INDEX(US_2_x,39))^2+(INDEX(US_2_y,17)-INDEX(US_2_y,39))^2)</f>
        <v>47.516475037611954</v>
      </c>
      <c r="AQ32" s="9">
        <f>SQRT((INDEX(US_2_x,17)-INDEX(US_2_x,40))^2+(INDEX(US_2_y,17)-INDEX(US_2_y,40))^2)</f>
        <v>33.30465583067929</v>
      </c>
      <c r="AR32" s="9">
        <f>SQRT((INDEX(US_2_x,17)-INDEX(US_2_x,41))^2+(INDEX(US_2_y,17)-INDEX(US_2_y,41))^2)</f>
        <v>56.86634505575332</v>
      </c>
      <c r="AS32" s="9">
        <f>SQRT((INDEX(US_2_x,17)-INDEX(US_2_x,42))^2+(INDEX(US_2_y,17)-INDEX(US_2_y,42))^2)</f>
        <v>67.45461437144237</v>
      </c>
      <c r="AT32" s="9">
        <f>SQRT((INDEX(US_2_x,17)-INDEX(US_2_x,43))^2+(INDEX(US_2_y,17)-INDEX(US_2_y,43))^2)</f>
        <v>4.367905676637263</v>
      </c>
      <c r="AU32" s="9">
        <f>SQRT((INDEX(US_2_x,17)-INDEX(US_2_x,44))^2+(INDEX(US_2_y,17)-INDEX(US_2_y,44))^2)</f>
        <v>19.476727137791915</v>
      </c>
      <c r="AV32" s="9">
        <f>SQRT((INDEX(US_2_x,17)-INDEX(US_2_x,45))^2+(INDEX(US_2_y,17)-INDEX(US_2_y,45))^2)</f>
        <v>80.04078023107971</v>
      </c>
      <c r="AW32" s="9">
        <f>SQRT((INDEX(US_2_x,17)-INDEX(US_2_x,46))^2+(INDEX(US_2_y,17)-INDEX(US_2_y,46))^2)</f>
        <v>23.3385882177993</v>
      </c>
      <c r="AX32" s="9">
        <f>SQRT((INDEX(US_2_x,17)-INDEX(US_2_x,47))^2+(INDEX(US_2_y,17)-INDEX(US_2_y,47))^2)</f>
        <v>30.975719523523583</v>
      </c>
      <c r="AY32" s="9">
        <f>SQRT((INDEX(US_2_x,17)-INDEX(US_2_x,48))^2+(INDEX(US_2_y,17)-INDEX(US_2_y,48))^2)</f>
        <v>56.17856174734273</v>
      </c>
      <c r="AZ32" s="9" t="s">
        <v>30</v>
      </c>
      <c r="BA32" s="34">
        <v>76.11</v>
      </c>
      <c r="BB32" s="34">
        <v>51.84</v>
      </c>
    </row>
    <row r="33" spans="3:54" ht="15" thickBot="1" thickTop="1">
      <c r="C33" s="4">
        <v>18</v>
      </c>
      <c r="D33" s="9">
        <f>SQRT((INDEX(US_2_x,18)-INDEX(US_2_x,1))^2+(INDEX(US_2_y,18)-INDEX(US_2_y,1))^2)</f>
        <v>22.57598945782886</v>
      </c>
      <c r="E33" s="9">
        <f>SQRT((INDEX(US_2_x,18)-INDEX(US_2_x,2))^2+(INDEX(US_2_y,18)-INDEX(US_2_y,2))^2)</f>
        <v>63.37100362153026</v>
      </c>
      <c r="F33" s="9">
        <f>SQRT((INDEX(US_2_x,18)-INDEX(US_2_x,3))^2+(INDEX(US_2_y,18)-INDEX(US_2_y,3))^2)</f>
        <v>29.024437979054824</v>
      </c>
      <c r="G33" s="9">
        <f>SQRT((INDEX(US_2_x,18)-INDEX(US_2_x,4))^2+(INDEX(US_2_y,18)-INDEX(US_2_y,4))^2)</f>
        <v>75.7725029281731</v>
      </c>
      <c r="H33" s="9">
        <f>SQRT((INDEX(US_2_x,18)-INDEX(US_2_x,5))^2+(INDEX(US_2_y,18)-INDEX(US_2_y,5))^2)</f>
        <v>47.92840076614282</v>
      </c>
      <c r="I33" s="9">
        <f>SQRT((INDEX(US_2_x,18)-INDEX(US_2_x,6))^2+(INDEX(US_2_y,18)-INDEX(US_2_y,6))^2)</f>
        <v>8.801931606187358</v>
      </c>
      <c r="J33" s="9">
        <f>SQRT((INDEX(US_2_x,18)-INDEX(US_2_x,7))^2+(INDEX(US_2_y,18)-INDEX(US_2_y,7))^2)</f>
        <v>1.6791962362987818</v>
      </c>
      <c r="K33" s="9">
        <f>SQRT((INDEX(US_2_x,18)-INDEX(US_2_x,8))^2+(INDEX(US_2_y,18)-INDEX(US_2_y,8))^2)</f>
        <v>23.30341820420343</v>
      </c>
      <c r="L33" s="9">
        <f>SQRT((INDEX(US_2_x,18)-INDEX(US_2_x,9))^2+(INDEX(US_2_y,18)-INDEX(US_2_y,9))^2)</f>
        <v>17.9586218847661</v>
      </c>
      <c r="M33" s="9">
        <f>SQRT((INDEX(US_2_x,18)-INDEX(US_2_x,10))^2+(INDEX(US_2_y,18)-INDEX(US_2_y,10))^2)</f>
        <v>65.34307997026158</v>
      </c>
      <c r="N33" s="9">
        <f>SQRT((INDEX(US_2_x,18)-INDEX(US_2_x,11))^2+(INDEX(US_2_y,18)-INDEX(US_2_y,11))^2)</f>
        <v>22.235763985075938</v>
      </c>
      <c r="O33" s="9">
        <f>SQRT((INDEX(US_2_x,18)-INDEX(US_2_x,12))^2+(INDEX(US_2_y,18)-INDEX(US_2_y,12))^2)</f>
        <v>16.382362466994806</v>
      </c>
      <c r="P33" s="9">
        <f>SQRT((INDEX(US_2_x,18)-INDEX(US_2_x,13))^2+(INDEX(US_2_y,18)-INDEX(US_2_y,13))^2)</f>
        <v>29.042369049373367</v>
      </c>
      <c r="Q33" s="9">
        <f>SQRT((INDEX(US_2_x,18)-INDEX(US_2_x,14))^2+(INDEX(US_2_y,18)-INDEX(US_2_y,14))^2)</f>
        <v>32.46617470537606</v>
      </c>
      <c r="R33" s="9">
        <f>SQRT((INDEX(US_2_x,18)-INDEX(US_2_x,15))^2+(INDEX(US_2_y,18)-INDEX(US_2_y,15))^2)</f>
        <v>14.373148576425422</v>
      </c>
      <c r="S33" s="9">
        <f>SQRT((INDEX(US_2_x,18)-INDEX(US_2_x,16))^2+(INDEX(US_2_y,18)-INDEX(US_2_y,16))^2)</f>
        <v>32.19979192479355</v>
      </c>
      <c r="T33" s="9">
        <f>SQRT((INDEX(US_2_x,18)-INDEX(US_2_x,17))^2+(INDEX(US_2_y,18)-INDEX(US_2_y,17))^2)</f>
        <v>16.009487811919534</v>
      </c>
      <c r="U33" s="9" t="s">
        <v>30</v>
      </c>
      <c r="V33" s="9">
        <f>SQRT((INDEX(US_2_x,18)-INDEX(US_2_x,19))^2+(INDEX(US_2_y,18)-INDEX(US_2_y,19))^2)</f>
        <v>11.6472700664147</v>
      </c>
      <c r="W33" s="9">
        <f>SQRT((INDEX(US_2_x,18)-INDEX(US_2_x,20))^2+(INDEX(US_2_y,18)-INDEX(US_2_y,20))^2)</f>
        <v>15.622691829515173</v>
      </c>
      <c r="X33" s="9">
        <f>SQRT((INDEX(US_2_x,18)-INDEX(US_2_x,21))^2+(INDEX(US_2_y,18)-INDEX(US_2_y,21))^2)</f>
        <v>29.87186301521886</v>
      </c>
      <c r="Y33" s="9">
        <f>SQRT((INDEX(US_2_x,18)-INDEX(US_2_x,22))^2+(INDEX(US_2_y,18)-INDEX(US_2_y,22))^2)</f>
        <v>28.289080932402168</v>
      </c>
      <c r="Z33" s="9">
        <f>SQRT((INDEX(US_2_x,18)-INDEX(US_2_x,23))^2+(INDEX(US_2_y,18)-INDEX(US_2_y,23))^2)</f>
        <v>26.65264152011954</v>
      </c>
      <c r="AA33" s="9">
        <f>SQRT((INDEX(US_2_x,18)-INDEX(US_2_x,24))^2+(INDEX(US_2_y,18)-INDEX(US_2_y,24))^2)</f>
        <v>58.810885046902676</v>
      </c>
      <c r="AB33" s="9">
        <f>SQRT((INDEX(US_2_x,18)-INDEX(US_2_x,25))^2+(INDEX(US_2_y,18)-INDEX(US_2_y,25))^2)</f>
        <v>34.002719008926334</v>
      </c>
      <c r="AC33" s="9">
        <f>SQRT((INDEX(US_2_x,18)-INDEX(US_2_x,26))^2+(INDEX(US_2_y,18)-INDEX(US_2_y,26))^2)</f>
        <v>72.62260323067467</v>
      </c>
      <c r="AD33" s="9">
        <f>SQRT((INDEX(US_2_x,18)-INDEX(US_2_x,27))^2+(INDEX(US_2_y,18)-INDEX(US_2_y,27))^2)</f>
        <v>12.325136916075211</v>
      </c>
      <c r="AE33" s="9">
        <f>SQRT((INDEX(US_2_x,18)-INDEX(US_2_x,28))^2+(INDEX(US_2_y,18)-INDEX(US_2_y,28))^2)</f>
        <v>3.989009902218847</v>
      </c>
      <c r="AF33" s="9">
        <f>SQRT((INDEX(US_2_x,18)-INDEX(US_2_x,29))^2+(INDEX(US_2_y,18)-INDEX(US_2_y,29))^2)</f>
        <v>51.37390485450761</v>
      </c>
      <c r="AG33" s="9">
        <f>SQRT((INDEX(US_2_x,18)-INDEX(US_2_x,30))^2+(INDEX(US_2_y,18)-INDEX(US_2_y,30))^2)</f>
        <v>9.225811617413402</v>
      </c>
      <c r="AH33" s="9">
        <f>SQRT((INDEX(US_2_x,18)-INDEX(US_2_x,31))^2+(INDEX(US_2_y,18)-INDEX(US_2_y,31))^2)</f>
        <v>7.933536411966605</v>
      </c>
      <c r="AI33" s="9">
        <f>SQRT((INDEX(US_2_x,18)-INDEX(US_2_x,32))^2+(INDEX(US_2_y,18)-INDEX(US_2_y,32))^2)</f>
        <v>42.26619689539148</v>
      </c>
      <c r="AJ33" s="9">
        <f>SQRT((INDEX(US_2_x,18)-INDEX(US_2_x,33))^2+(INDEX(US_2_y,18)-INDEX(US_2_y,33))^2)</f>
        <v>11.16774372915138</v>
      </c>
      <c r="AK33" s="9">
        <f>SQRT((INDEX(US_2_x,18)-INDEX(US_2_x,34))^2+(INDEX(US_2_y,18)-INDEX(US_2_y,34))^2)</f>
        <v>37.23839416516239</v>
      </c>
      <c r="AL33" s="9">
        <f>SQRT((INDEX(US_2_x,18)-INDEX(US_2_x,35))^2+(INDEX(US_2_y,18)-INDEX(US_2_y,35))^2)</f>
        <v>75.64826303359516</v>
      </c>
      <c r="AM33" s="9">
        <f>SQRT((INDEX(US_2_x,18)-INDEX(US_2_x,36))^2+(INDEX(US_2_y,18)-INDEX(US_2_y,36))^2)</f>
        <v>2.8551182112129796</v>
      </c>
      <c r="AN33" s="9">
        <f>SQRT((INDEX(US_2_x,18)-INDEX(US_2_x,37))^2+(INDEX(US_2_y,18)-INDEX(US_2_y,37))^2)</f>
        <v>10.488207663848007</v>
      </c>
      <c r="AO33" s="9">
        <f>SQRT((INDEX(US_2_x,18)-INDEX(US_2_x,38))^2+(INDEX(US_2_y,18)-INDEX(US_2_y,38))^2)</f>
        <v>13.47818978943389</v>
      </c>
      <c r="AP33" s="9">
        <f>SQRT((INDEX(US_2_x,18)-INDEX(US_2_x,39))^2+(INDEX(US_2_y,18)-INDEX(US_2_y,39))^2)</f>
        <v>40.501364174555896</v>
      </c>
      <c r="AQ33" s="9">
        <f>SQRT((INDEX(US_2_x,18)-INDEX(US_2_x,40))^2+(INDEX(US_2_y,18)-INDEX(US_2_y,40))^2)</f>
        <v>18.802941259281752</v>
      </c>
      <c r="AR33" s="9">
        <f>SQRT((INDEX(US_2_x,18)-INDEX(US_2_x,41))^2+(INDEX(US_2_y,18)-INDEX(US_2_y,41))^2)</f>
        <v>42.47120083068055</v>
      </c>
      <c r="AS33" s="9">
        <f>SQRT((INDEX(US_2_x,18)-INDEX(US_2_x,42))^2+(INDEX(US_2_y,18)-INDEX(US_2_y,42))^2)</f>
        <v>59.02758422974805</v>
      </c>
      <c r="AT33" s="9">
        <f>SQRT((INDEX(US_2_x,18)-INDEX(US_2_x,43))^2+(INDEX(US_2_y,18)-INDEX(US_2_y,43))^2)</f>
        <v>13.215918431951678</v>
      </c>
      <c r="AU33" s="20">
        <f>SQRT((INDEX(US_2_x,18)-INDEX(US_2_x,44))^2+(INDEX(US_2_y,18)-INDEX(US_2_y,44))^2)</f>
        <v>3.541327434734041</v>
      </c>
      <c r="AV33" s="9">
        <f>SQRT((INDEX(US_2_x,18)-INDEX(US_2_x,45))^2+(INDEX(US_2_y,18)-INDEX(US_2_y,45))^2)</f>
        <v>75.07842566276948</v>
      </c>
      <c r="AW33" s="9">
        <f>SQRT((INDEX(US_2_x,18)-INDEX(US_2_x,46))^2+(INDEX(US_2_y,18)-INDEX(US_2_y,46))^2)</f>
        <v>8.862471438599965</v>
      </c>
      <c r="AX33" s="9">
        <f>SQRT((INDEX(US_2_x,18)-INDEX(US_2_x,47))^2+(INDEX(US_2_y,18)-INDEX(US_2_y,47))^2)</f>
        <v>23.01076487212018</v>
      </c>
      <c r="AY33" s="9">
        <f>SQRT((INDEX(US_2_x,18)-INDEX(US_2_x,48))^2+(INDEX(US_2_y,18)-INDEX(US_2_y,48))^2)</f>
        <v>47.350422384599696</v>
      </c>
      <c r="AZ33" s="9" t="s">
        <v>30</v>
      </c>
      <c r="BA33" s="34">
        <v>74.62</v>
      </c>
      <c r="BB33" s="34">
        <v>35.9</v>
      </c>
    </row>
    <row r="34" spans="3:54" ht="15" thickBot="1" thickTop="1">
      <c r="C34" s="4">
        <v>19</v>
      </c>
      <c r="D34" s="9">
        <f>SQRT((INDEX(US_2_x,19)-INDEX(US_2_x,1))^2+(INDEX(US_2_y,19)-INDEX(US_2_y,1))^2)</f>
        <v>34.18903917924573</v>
      </c>
      <c r="E34" s="9">
        <f>SQRT((INDEX(US_2_x,19)-INDEX(US_2_x,2))^2+(INDEX(US_2_y,19)-INDEX(US_2_y,2))^2)</f>
        <v>72.42331806814708</v>
      </c>
      <c r="F34" s="9">
        <f>SQRT((INDEX(US_2_x,19)-INDEX(US_2_x,3))^2+(INDEX(US_2_y,19)-INDEX(US_2_y,3))^2)</f>
        <v>39.66384373708629</v>
      </c>
      <c r="G34" s="9">
        <f>SQRT((INDEX(US_2_x,19)-INDEX(US_2_x,4))^2+(INDEX(US_2_y,19)-INDEX(US_2_y,4))^2)</f>
        <v>82.95389382060372</v>
      </c>
      <c r="H34" s="9">
        <f>SQRT((INDEX(US_2_x,19)-INDEX(US_2_x,5))^2+(INDEX(US_2_y,19)-INDEX(US_2_y,5))^2)</f>
        <v>55.769831450345976</v>
      </c>
      <c r="I34" s="9">
        <f>SQRT((INDEX(US_2_x,19)-INDEX(US_2_x,6))^2+(INDEX(US_2_y,19)-INDEX(US_2_y,6))^2)</f>
        <v>2.92576485726382</v>
      </c>
      <c r="J34" s="9">
        <f>SQRT((INDEX(US_2_x,19)-INDEX(US_2_x,7))^2+(INDEX(US_2_y,19)-INDEX(US_2_y,7))^2)</f>
        <v>10.194753552685812</v>
      </c>
      <c r="K34" s="9">
        <f>SQRT((INDEX(US_2_x,19)-INDEX(US_2_x,8))^2+(INDEX(US_2_y,19)-INDEX(US_2_y,8))^2)</f>
        <v>34.864185061463864</v>
      </c>
      <c r="L34" s="9">
        <f>SQRT((INDEX(US_2_x,19)-INDEX(US_2_x,9))^2+(INDEX(US_2_y,19)-INDEX(US_2_y,9))^2)</f>
        <v>29.580060851864378</v>
      </c>
      <c r="M34" s="9">
        <f>SQRT((INDEX(US_2_x,19)-INDEX(US_2_x,10))^2+(INDEX(US_2_y,19)-INDEX(US_2_y,10))^2)</f>
        <v>71.39655173746137</v>
      </c>
      <c r="N34" s="9">
        <f>SQRT((INDEX(US_2_x,19)-INDEX(US_2_x,11))^2+(INDEX(US_2_y,19)-INDEX(US_2_y,11))^2)</f>
        <v>30.995781971100513</v>
      </c>
      <c r="O34" s="9">
        <f>SQRT((INDEX(US_2_x,19)-INDEX(US_2_x,12))^2+(INDEX(US_2_y,19)-INDEX(US_2_y,12))^2)</f>
        <v>25.41761003713763</v>
      </c>
      <c r="P34" s="9">
        <f>SQRT((INDEX(US_2_x,19)-INDEX(US_2_x,13))^2+(INDEX(US_2_y,19)-INDEX(US_2_y,13))^2)</f>
        <v>36.5445987801207</v>
      </c>
      <c r="Q34" s="9">
        <f>SQRT((INDEX(US_2_x,19)-INDEX(US_2_x,14))^2+(INDEX(US_2_y,19)-INDEX(US_2_y,14))^2)</f>
        <v>41.18220975129916</v>
      </c>
      <c r="R34" s="9">
        <f>SQRT((INDEX(US_2_x,19)-INDEX(US_2_x,15))^2+(INDEX(US_2_y,19)-INDEX(US_2_y,15))^2)</f>
        <v>24.657301149963672</v>
      </c>
      <c r="S34" s="9">
        <f>SQRT((INDEX(US_2_x,19)-INDEX(US_2_x,16))^2+(INDEX(US_2_y,19)-INDEX(US_2_y,16))^2)</f>
        <v>43.67555494781949</v>
      </c>
      <c r="T34" s="9">
        <f>SQRT((INDEX(US_2_x,19)-INDEX(US_2_x,17))^2+(INDEX(US_2_y,19)-INDEX(US_2_y,17))^2)</f>
        <v>4.766151487311334</v>
      </c>
      <c r="U34" s="9">
        <f>SQRT((INDEX(US_2_x,19)-INDEX(US_2_x,18))^2+(INDEX(US_2_y,19)-INDEX(US_2_y,18))^2)</f>
        <v>11.6472700664147</v>
      </c>
      <c r="V34" s="9" t="s">
        <v>30</v>
      </c>
      <c r="W34" s="9">
        <f>SQRT((INDEX(US_2_x,19)-INDEX(US_2_x,20))^2+(INDEX(US_2_y,19)-INDEX(US_2_y,20))^2)</f>
        <v>21.6943955896448</v>
      </c>
      <c r="X34" s="9">
        <f>SQRT((INDEX(US_2_x,19)-INDEX(US_2_x,21))^2+(INDEX(US_2_y,19)-INDEX(US_2_y,21))^2)</f>
        <v>35.19846161411035</v>
      </c>
      <c r="Y34" s="9">
        <f>SQRT((INDEX(US_2_x,19)-INDEX(US_2_x,22))^2+(INDEX(US_2_y,19)-INDEX(US_2_y,22))^2)</f>
        <v>39.64079968920909</v>
      </c>
      <c r="Z34" s="9">
        <f>SQRT((INDEX(US_2_x,19)-INDEX(US_2_x,23))^2+(INDEX(US_2_y,19)-INDEX(US_2_y,23))^2)</f>
        <v>35.87864267220821</v>
      </c>
      <c r="AA34" s="9">
        <f>SQRT((INDEX(US_2_x,19)-INDEX(US_2_x,24))^2+(INDEX(US_2_y,19)-INDEX(US_2_y,24))^2)</f>
        <v>63.92276355102304</v>
      </c>
      <c r="AB34" s="9">
        <f>SQRT((INDEX(US_2_x,19)-INDEX(US_2_x,25))^2+(INDEX(US_2_y,19)-INDEX(US_2_y,25))^2)</f>
        <v>41.827533993770174</v>
      </c>
      <c r="AC34" s="9">
        <f>SQRT((INDEX(US_2_x,19)-INDEX(US_2_x,26))^2+(INDEX(US_2_y,19)-INDEX(US_2_y,26))^2)</f>
        <v>79.76047768161872</v>
      </c>
      <c r="AD34" s="9">
        <f>SQRT((INDEX(US_2_x,19)-INDEX(US_2_x,27))^2+(INDEX(US_2_y,19)-INDEX(US_2_y,27))^2)</f>
        <v>2.013578903345977</v>
      </c>
      <c r="AE34" s="9">
        <f>SQRT((INDEX(US_2_x,19)-INDEX(US_2_x,28))^2+(INDEX(US_2_y,19)-INDEX(US_2_y,28))^2)</f>
        <v>7.661886190749632</v>
      </c>
      <c r="AF34" s="9">
        <f>SQRT((INDEX(US_2_x,19)-INDEX(US_2_x,29))^2+(INDEX(US_2_y,19)-INDEX(US_2_y,29))^2)</f>
        <v>60.402908870351595</v>
      </c>
      <c r="AG34" s="9">
        <f>SQRT((INDEX(US_2_x,19)-INDEX(US_2_x,30))^2+(INDEX(US_2_y,19)-INDEX(US_2_y,30))^2)</f>
        <v>4.375945612093454</v>
      </c>
      <c r="AH34" s="9">
        <f>SQRT((INDEX(US_2_x,19)-INDEX(US_2_x,31))^2+(INDEX(US_2_y,19)-INDEX(US_2_y,31))^2)</f>
        <v>19.310756070128374</v>
      </c>
      <c r="AI34" s="9">
        <f>SQRT((INDEX(US_2_x,19)-INDEX(US_2_x,32))^2+(INDEX(US_2_y,19)-INDEX(US_2_y,32))^2)</f>
        <v>47.05729805248065</v>
      </c>
      <c r="AJ34" s="9">
        <f>SQRT((INDEX(US_2_x,19)-INDEX(US_2_x,33))^2+(INDEX(US_2_y,19)-INDEX(US_2_y,33))^2)</f>
        <v>20.26853719438084</v>
      </c>
      <c r="AK34" s="9">
        <f>SQRT((INDEX(US_2_x,19)-INDEX(US_2_x,34))^2+(INDEX(US_2_y,19)-INDEX(US_2_y,34))^2)</f>
        <v>47.10095646587232</v>
      </c>
      <c r="AL34" s="9">
        <f>SQRT((INDEX(US_2_x,19)-INDEX(US_2_x,35))^2+(INDEX(US_2_y,19)-INDEX(US_2_y,35))^2)</f>
        <v>81.06400557584111</v>
      </c>
      <c r="AM34" s="9">
        <f>SQRT((INDEX(US_2_x,19)-INDEX(US_2_x,36))^2+(INDEX(US_2_y,19)-INDEX(US_2_y,36))^2)</f>
        <v>10.608449462574626</v>
      </c>
      <c r="AN34" s="20">
        <f>SQRT((INDEX(US_2_x,19)-INDEX(US_2_x,37))^2+(INDEX(US_2_y,19)-INDEX(US_2_y,37))^2)</f>
        <v>1.3146862743635805</v>
      </c>
      <c r="AO34" s="9">
        <f>SQRT((INDEX(US_2_x,19)-INDEX(US_2_x,38))^2+(INDEX(US_2_y,19)-INDEX(US_2_y,38))^2)</f>
        <v>25.02207225631002</v>
      </c>
      <c r="AP34" s="9">
        <f>SQRT((INDEX(US_2_x,19)-INDEX(US_2_x,39))^2+(INDEX(US_2_y,19)-INDEX(US_2_y,39))^2)</f>
        <v>46.511009449376594</v>
      </c>
      <c r="AQ34" s="9">
        <f>SQRT((INDEX(US_2_x,19)-INDEX(US_2_x,40))^2+(INDEX(US_2_y,19)-INDEX(US_2_y,40))^2)</f>
        <v>29.719126837779058</v>
      </c>
      <c r="AR34" s="9">
        <f>SQRT((INDEX(US_2_x,19)-INDEX(US_2_x,41))^2+(INDEX(US_2_y,19)-INDEX(US_2_y,41))^2)</f>
        <v>53.432104581421825</v>
      </c>
      <c r="AS34" s="9">
        <f>SQRT((INDEX(US_2_x,19)-INDEX(US_2_x,42))^2+(INDEX(US_2_y,19)-INDEX(US_2_y,42))^2)</f>
        <v>66.161599134241</v>
      </c>
      <c r="AT34" s="9">
        <f>SQRT((INDEX(US_2_x,19)-INDEX(US_2_x,43))^2+(INDEX(US_2_y,19)-INDEX(US_2_y,43))^2)</f>
        <v>4.850566977168749</v>
      </c>
      <c r="AU34" s="9">
        <f>SQRT((INDEX(US_2_x,19)-INDEX(US_2_x,44))^2+(INDEX(US_2_y,19)-INDEX(US_2_y,44))^2)</f>
        <v>15.006615207967446</v>
      </c>
      <c r="AV34" s="9">
        <f>SQRT((INDEX(US_2_x,19)-INDEX(US_2_x,45))^2+(INDEX(US_2_y,19)-INDEX(US_2_y,45))^2)</f>
        <v>79.88710346482716</v>
      </c>
      <c r="AW34" s="9">
        <f>SQRT((INDEX(US_2_x,19)-INDEX(US_2_x,46))^2+(INDEX(US_2_y,19)-INDEX(US_2_y,46))^2)</f>
        <v>19.61765786224237</v>
      </c>
      <c r="AX34" s="9">
        <f>SQRT((INDEX(US_2_x,19)-INDEX(US_2_x,47))^2+(INDEX(US_2_y,19)-INDEX(US_2_y,47))^2)</f>
        <v>29.382705797798806</v>
      </c>
      <c r="AY34" s="9">
        <f>SQRT((INDEX(US_2_x,19)-INDEX(US_2_x,48))^2+(INDEX(US_2_y,19)-INDEX(US_2_y,48))^2)</f>
        <v>54.688794098974235</v>
      </c>
      <c r="AZ34" s="9" t="s">
        <v>30</v>
      </c>
      <c r="BA34" s="34">
        <v>77.32</v>
      </c>
      <c r="BB34" s="34">
        <v>47.23</v>
      </c>
    </row>
    <row r="35" spans="3:54" ht="15" thickBot="1" thickTop="1">
      <c r="C35" s="4">
        <v>20</v>
      </c>
      <c r="D35" s="9">
        <f>SQRT((INDEX(US_2_x,20)-INDEX(US_2_x,1))^2+(INDEX(US_2_y,20)-INDEX(US_2_y,1))^2)</f>
        <v>22.669847815986767</v>
      </c>
      <c r="E35" s="9">
        <f>SQRT((INDEX(US_2_x,20)-INDEX(US_2_x,2))^2+(INDEX(US_2_y,20)-INDEX(US_2_y,2))^2)</f>
        <v>51.04555808295174</v>
      </c>
      <c r="F35" s="9">
        <f>SQRT((INDEX(US_2_x,20)-INDEX(US_2_x,3))^2+(INDEX(US_2_y,20)-INDEX(US_2_y,3))^2)</f>
        <v>21.68794365540449</v>
      </c>
      <c r="G35" s="9">
        <f>SQRT((INDEX(US_2_x,20)-INDEX(US_2_x,4))^2+(INDEX(US_2_y,20)-INDEX(US_2_y,4))^2)</f>
        <v>61.3493284396822</v>
      </c>
      <c r="H35" s="9">
        <f>SQRT((INDEX(US_2_x,20)-INDEX(US_2_x,5))^2+(INDEX(US_2_y,20)-INDEX(US_2_y,5))^2)</f>
        <v>34.08227251812883</v>
      </c>
      <c r="I35" s="9">
        <f>SQRT((INDEX(US_2_x,20)-INDEX(US_2_x,6))^2+(INDEX(US_2_y,20)-INDEX(US_2_y,6))^2)</f>
        <v>19.29215643726745</v>
      </c>
      <c r="J35" s="9">
        <f>SQRT((INDEX(US_2_x,20)-INDEX(US_2_x,7))^2+(INDEX(US_2_y,20)-INDEX(US_2_y,7))^2)</f>
        <v>16.801648728621846</v>
      </c>
      <c r="K35" s="9">
        <f>SQRT((INDEX(US_2_x,20)-INDEX(US_2_x,8))^2+(INDEX(US_2_y,20)-INDEX(US_2_y,8))^2)</f>
        <v>26.685340544950893</v>
      </c>
      <c r="L35" s="9">
        <f>SQRT((INDEX(US_2_x,20)-INDEX(US_2_x,9))^2+(INDEX(US_2_y,20)-INDEX(US_2_y,9))^2)</f>
        <v>19.50635793786221</v>
      </c>
      <c r="M35" s="9">
        <f>SQRT((INDEX(US_2_x,20)-INDEX(US_2_x,10))^2+(INDEX(US_2_y,20)-INDEX(US_2_y,10))^2)</f>
        <v>50.21064428983161</v>
      </c>
      <c r="N35" s="9">
        <f>SQRT((INDEX(US_2_x,20)-INDEX(US_2_x,11))^2+(INDEX(US_2_y,20)-INDEX(US_2_y,11))^2)</f>
        <v>10.48164586312665</v>
      </c>
      <c r="O35" s="9">
        <f>SQRT((INDEX(US_2_x,20)-INDEX(US_2_x,12))^2+(INDEX(US_2_y,20)-INDEX(US_2_y,12))^2)</f>
        <v>6.937326574408904</v>
      </c>
      <c r="P35" s="9">
        <f>SQRT((INDEX(US_2_x,20)-INDEX(US_2_x,13))^2+(INDEX(US_2_y,20)-INDEX(US_2_y,13))^2)</f>
        <v>14.87415543820892</v>
      </c>
      <c r="Q35" s="9">
        <f>SQRT((INDEX(US_2_x,20)-INDEX(US_2_x,14))^2+(INDEX(US_2_y,20)-INDEX(US_2_y,14))^2)</f>
        <v>19.969026015306806</v>
      </c>
      <c r="R35" s="9">
        <f>SQRT((INDEX(US_2_x,20)-INDEX(US_2_x,15))^2+(INDEX(US_2_y,20)-INDEX(US_2_y,15))^2)</f>
        <v>9.852375348107683</v>
      </c>
      <c r="S35" s="9">
        <f>SQRT((INDEX(US_2_x,20)-INDEX(US_2_x,16))^2+(INDEX(US_2_y,20)-INDEX(US_2_y,16))^2)</f>
        <v>28.993987307716058</v>
      </c>
      <c r="T35" s="9">
        <f>SQRT((INDEX(US_2_x,20)-INDEX(US_2_x,17))^2+(INDEX(US_2_y,20)-INDEX(US_2_y,17))^2)</f>
        <v>23.58315076489993</v>
      </c>
      <c r="U35" s="9">
        <f>SQRT((INDEX(US_2_x,20)-INDEX(US_2_x,18))^2+(INDEX(US_2_y,20)-INDEX(US_2_y,18))^2)</f>
        <v>15.622691829515173</v>
      </c>
      <c r="V35" s="9">
        <f>SQRT((INDEX(US_2_x,20)-INDEX(US_2_x,19))^2+(INDEX(US_2_y,20)-INDEX(US_2_y,19))^2)</f>
        <v>21.6943955896448</v>
      </c>
      <c r="W35" s="9" t="s">
        <v>30</v>
      </c>
      <c r="X35" s="9">
        <f>SQRT((INDEX(US_2_x,20)-INDEX(US_2_x,21))^2+(INDEX(US_2_y,20)-INDEX(US_2_y,21))^2)</f>
        <v>14.299486004748564</v>
      </c>
      <c r="Y35" s="9">
        <f>SQRT((INDEX(US_2_x,20)-INDEX(US_2_x,22))^2+(INDEX(US_2_y,20)-INDEX(US_2_y,22))^2)</f>
        <v>24.592279276228137</v>
      </c>
      <c r="Z35" s="9">
        <f>SQRT((INDEX(US_2_x,20)-INDEX(US_2_x,23))^2+(INDEX(US_2_y,20)-INDEX(US_2_y,23))^2)</f>
        <v>15.469460236220266</v>
      </c>
      <c r="AA35" s="9">
        <f>SQRT((INDEX(US_2_x,20)-INDEX(US_2_x,24))^2+(INDEX(US_2_y,20)-INDEX(US_2_y,24))^2)</f>
        <v>43.327581284904426</v>
      </c>
      <c r="AB35" s="9">
        <f>SQRT((INDEX(US_2_x,20)-INDEX(US_2_x,25))^2+(INDEX(US_2_y,20)-INDEX(US_2_y,25))^2)</f>
        <v>20.18110502425474</v>
      </c>
      <c r="AC35" s="9">
        <f>SQRT((INDEX(US_2_x,20)-INDEX(US_2_x,26))^2+(INDEX(US_2_y,20)-INDEX(US_2_y,26))^2)</f>
        <v>58.162401944899074</v>
      </c>
      <c r="AD35" s="9">
        <f>SQRT((INDEX(US_2_x,20)-INDEX(US_2_x,27))^2+(INDEX(US_2_y,20)-INDEX(US_2_y,27))^2)</f>
        <v>20.788431879292865</v>
      </c>
      <c r="AE35" s="9">
        <f>SQRT((INDEX(US_2_x,20)-INDEX(US_2_x,28))^2+(INDEX(US_2_y,20)-INDEX(US_2_y,28))^2)</f>
        <v>16.93895215177137</v>
      </c>
      <c r="AF35" s="9">
        <f>SQRT((INDEX(US_2_x,20)-INDEX(US_2_x,29))^2+(INDEX(US_2_y,20)-INDEX(US_2_y,29))^2)</f>
        <v>39.0931630851227</v>
      </c>
      <c r="AG35" s="9">
        <f>SQRT((INDEX(US_2_x,20)-INDEX(US_2_x,30))^2+(INDEX(US_2_y,20)-INDEX(US_2_y,30))^2)</f>
        <v>17.324344143430075</v>
      </c>
      <c r="AH35" s="9">
        <f>SQRT((INDEX(US_2_x,20)-INDEX(US_2_x,31))^2+(INDEX(US_2_y,20)-INDEX(US_2_y,31))^2)</f>
        <v>18.120775369724115</v>
      </c>
      <c r="AI35" s="9">
        <f>SQRT((INDEX(US_2_x,20)-INDEX(US_2_x,32))^2+(INDEX(US_2_y,20)-INDEX(US_2_y,32))^2)</f>
        <v>26.67313442398549</v>
      </c>
      <c r="AJ35" s="20">
        <f>SQRT((INDEX(US_2_x,20)-INDEX(US_2_x,33))^2+(INDEX(US_2_y,20)-INDEX(US_2_y,33))^2)</f>
        <v>6.536206851071961</v>
      </c>
      <c r="AK35" s="9">
        <f>SQRT((INDEX(US_2_x,20)-INDEX(US_2_x,34))^2+(INDEX(US_2_y,20)-INDEX(US_2_y,34))^2)</f>
        <v>26.931455586358492</v>
      </c>
      <c r="AL35" s="9">
        <f>SQRT((INDEX(US_2_x,20)-INDEX(US_2_x,35))^2+(INDEX(US_2_y,20)-INDEX(US_2_y,35))^2)</f>
        <v>60.28943025108133</v>
      </c>
      <c r="AM35" s="9">
        <f>SQRT((INDEX(US_2_x,20)-INDEX(US_2_x,36))^2+(INDEX(US_2_y,20)-INDEX(US_2_y,36))^2)</f>
        <v>13.655138227055781</v>
      </c>
      <c r="AN35" s="9">
        <f>SQRT((INDEX(US_2_x,20)-INDEX(US_2_x,37))^2+(INDEX(US_2_y,20)-INDEX(US_2_y,37))^2)</f>
        <v>21.298356744124657</v>
      </c>
      <c r="AO35" s="9">
        <f>SQRT((INDEX(US_2_x,20)-INDEX(US_2_x,38))^2+(INDEX(US_2_y,20)-INDEX(US_2_y,38))^2)</f>
        <v>19.90113815840692</v>
      </c>
      <c r="AP35" s="9">
        <f>SQRT((INDEX(US_2_x,20)-INDEX(US_2_x,39))^2+(INDEX(US_2_y,20)-INDEX(US_2_y,39))^2)</f>
        <v>25.244563771235974</v>
      </c>
      <c r="AQ35" s="9">
        <f>SQRT((INDEX(US_2_x,20)-INDEX(US_2_x,40))^2+(INDEX(US_2_y,20)-INDEX(US_2_y,40))^2)</f>
        <v>14.734710719929318</v>
      </c>
      <c r="AR35" s="9">
        <f>SQRT((INDEX(US_2_x,20)-INDEX(US_2_x,41))^2+(INDEX(US_2_y,20)-INDEX(US_2_y,41))^2)</f>
        <v>35.412520384745285</v>
      </c>
      <c r="AS35" s="9">
        <f>SQRT((INDEX(US_2_x,20)-INDEX(US_2_x,42))^2+(INDEX(US_2_y,20)-INDEX(US_2_y,42))^2)</f>
        <v>44.54247411179581</v>
      </c>
      <c r="AT35" s="9">
        <f>SQRT((INDEX(US_2_x,20)-INDEX(US_2_x,43))^2+(INDEX(US_2_y,20)-INDEX(US_2_y,43))^2)</f>
        <v>19.221456760610003</v>
      </c>
      <c r="AU35" s="9">
        <f>SQRT((INDEX(US_2_x,20)-INDEX(US_2_x,44))^2+(INDEX(US_2_y,20)-INDEX(US_2_y,44))^2)</f>
        <v>16.40903714420807</v>
      </c>
      <c r="AV35" s="9">
        <f>SQRT((INDEX(US_2_x,20)-INDEX(US_2_x,45))^2+(INDEX(US_2_y,20)-INDEX(US_2_y,45))^2)</f>
        <v>59.56116603962686</v>
      </c>
      <c r="AW35" s="9">
        <f>SQRT((INDEX(US_2_x,20)-INDEX(US_2_x,46))^2+(INDEX(US_2_y,20)-INDEX(US_2_y,46))^2)</f>
        <v>10.701742848713936</v>
      </c>
      <c r="AX35" s="9">
        <f>SQRT((INDEX(US_2_x,20)-INDEX(US_2_x,47))^2+(INDEX(US_2_y,20)-INDEX(US_2_y,47))^2)</f>
        <v>7.765526382673617</v>
      </c>
      <c r="AY35" s="9">
        <f>SQRT((INDEX(US_2_x,20)-INDEX(US_2_x,48))^2+(INDEX(US_2_y,20)-INDEX(US_2_y,48))^2)</f>
        <v>33.01255821653329</v>
      </c>
      <c r="AZ35" s="9" t="s">
        <v>30</v>
      </c>
      <c r="BA35" s="34">
        <v>59</v>
      </c>
      <c r="BB35" s="34">
        <v>35.61</v>
      </c>
    </row>
    <row r="36" spans="3:54" ht="15" thickBot="1" thickTop="1">
      <c r="C36" s="4">
        <v>21</v>
      </c>
      <c r="D36" s="9">
        <f>SQRT((INDEX(US_2_x,21)-INDEX(US_2_x,1))^2+(INDEX(US_2_y,21)-INDEX(US_2_y,1))^2)</f>
        <v>29.560204667762367</v>
      </c>
      <c r="E36" s="9">
        <f>SQRT((INDEX(US_2_x,21)-INDEX(US_2_x,2))^2+(INDEX(US_2_y,21)-INDEX(US_2_y,2))^2)</f>
        <v>40.42942121772212</v>
      </c>
      <c r="F36" s="9">
        <f>SQRT((INDEX(US_2_x,21)-INDEX(US_2_x,3))^2+(INDEX(US_2_y,21)-INDEX(US_2_y,3))^2)</f>
        <v>22.08898820679661</v>
      </c>
      <c r="G36" s="9">
        <f>SQRT((INDEX(US_2_x,21)-INDEX(US_2_x,4))^2+(INDEX(US_2_y,21)-INDEX(US_2_y,4))^2)</f>
        <v>48.01406877155903</v>
      </c>
      <c r="H36" s="9">
        <f>SQRT((INDEX(US_2_x,21)-INDEX(US_2_x,5))^2+(INDEX(US_2_y,21)-INDEX(US_2_y,5))^2)</f>
        <v>22.222569608395872</v>
      </c>
      <c r="I36" s="9">
        <f>SQRT((INDEX(US_2_x,21)-INDEX(US_2_x,6))^2+(INDEX(US_2_y,21)-INDEX(US_2_y,6))^2)</f>
        <v>33.09312013092752</v>
      </c>
      <c r="J36" s="9">
        <f>SQRT((INDEX(US_2_x,21)-INDEX(US_2_x,7))^2+(INDEX(US_2_y,21)-INDEX(US_2_y,7))^2)</f>
        <v>31.09422615213314</v>
      </c>
      <c r="K36" s="9">
        <f>SQRT((INDEX(US_2_x,21)-INDEX(US_2_x,8))^2+(INDEX(US_2_y,21)-INDEX(US_2_y,8))^2)</f>
        <v>34.862192988967294</v>
      </c>
      <c r="L36" s="9">
        <f>SQRT((INDEX(US_2_x,21)-INDEX(US_2_x,9))^2+(INDEX(US_2_y,21)-INDEX(US_2_y,9))^2)</f>
        <v>28.345160080691027</v>
      </c>
      <c r="M36" s="9">
        <f>SQRT((INDEX(US_2_x,21)-INDEX(US_2_x,10))^2+(INDEX(US_2_y,21)-INDEX(US_2_y,10))^2)</f>
        <v>36.20226650363206</v>
      </c>
      <c r="N36" s="9">
        <f>SQRT((INDEX(US_2_x,21)-INDEX(US_2_x,11))^2+(INDEX(US_2_y,21)-INDEX(US_2_y,11))^2)</f>
        <v>12.459510423768664</v>
      </c>
      <c r="O36" s="9">
        <f>SQRT((INDEX(US_2_x,21)-INDEX(US_2_x,12))^2+(INDEX(US_2_y,21)-INDEX(US_2_y,12))^2)</f>
        <v>15.855762359470454</v>
      </c>
      <c r="P36" s="9">
        <f>SQRT((INDEX(US_2_x,21)-INDEX(US_2_x,13))^2+(INDEX(US_2_y,21)-INDEX(US_2_y,13))^2)</f>
        <v>7.298999931497465</v>
      </c>
      <c r="Q36" s="9">
        <f>SQRT((INDEX(US_2_x,21)-INDEX(US_2_x,14))^2+(INDEX(US_2_y,21)-INDEX(US_2_y,14))^2)</f>
        <v>13.402227426812301</v>
      </c>
      <c r="R36" s="9">
        <f>SQRT((INDEX(US_2_x,21)-INDEX(US_2_x,15))^2+(INDEX(US_2_y,21)-INDEX(US_2_y,15))^2)</f>
        <v>19.86225566243673</v>
      </c>
      <c r="S36" s="9">
        <f>SQRT((INDEX(US_2_x,21)-INDEX(US_2_x,16))^2+(INDEX(US_2_y,21)-INDEX(US_2_y,16))^2)</f>
        <v>31.50773873193695</v>
      </c>
      <c r="T36" s="9">
        <f>SQRT((INDEX(US_2_x,21)-INDEX(US_2_x,17))^2+(INDEX(US_2_y,21)-INDEX(US_2_y,17))^2)</f>
        <v>36.16435952702606</v>
      </c>
      <c r="U36" s="9">
        <f>SQRT((INDEX(US_2_x,21)-INDEX(US_2_x,18))^2+(INDEX(US_2_y,21)-INDEX(US_2_y,18))^2)</f>
        <v>29.87186301521886</v>
      </c>
      <c r="V36" s="9">
        <f>SQRT((INDEX(US_2_x,21)-INDEX(US_2_x,19))^2+(INDEX(US_2_y,21)-INDEX(US_2_y,19))^2)</f>
        <v>35.19846161411035</v>
      </c>
      <c r="W36" s="9">
        <f>SQRT((INDEX(US_2_x,21)-INDEX(US_2_x,20))^2+(INDEX(US_2_y,21)-INDEX(US_2_y,20))^2)</f>
        <v>14.299486004748564</v>
      </c>
      <c r="X36" s="9" t="s">
        <v>30</v>
      </c>
      <c r="Y36" s="9">
        <f>SQRT((INDEX(US_2_x,21)-INDEX(US_2_x,22))^2+(INDEX(US_2_y,21)-INDEX(US_2_y,22))^2)</f>
        <v>27.786696457117745</v>
      </c>
      <c r="Z36" s="9">
        <f>SQRT((INDEX(US_2_x,21)-INDEX(US_2_x,23))^2+(INDEX(US_2_y,21)-INDEX(US_2_y,23))^2)</f>
        <v>13.862268934052606</v>
      </c>
      <c r="AA36" s="9">
        <f>SQRT((INDEX(US_2_x,21)-INDEX(US_2_x,24))^2+(INDEX(US_2_y,21)-INDEX(US_2_y,24))^2)</f>
        <v>29.044965140278617</v>
      </c>
      <c r="AB36" s="9">
        <f>SQRT((INDEX(US_2_x,21)-INDEX(US_2_x,25))^2+(INDEX(US_2_y,21)-INDEX(US_2_y,25))^2)</f>
        <v>10.616896910114555</v>
      </c>
      <c r="AC36" s="9">
        <f>SQRT((INDEX(US_2_x,21)-INDEX(US_2_x,26))^2+(INDEX(US_2_y,21)-INDEX(US_2_y,26))^2)</f>
        <v>44.81588222940612</v>
      </c>
      <c r="AD36" s="9">
        <f>SQRT((INDEX(US_2_x,21)-INDEX(US_2_x,27))^2+(INDEX(US_2_y,21)-INDEX(US_2_y,27))^2)</f>
        <v>33.970110391342565</v>
      </c>
      <c r="AE36" s="9">
        <f>SQRT((INDEX(US_2_x,21)-INDEX(US_2_x,28))^2+(INDEX(US_2_y,21)-INDEX(US_2_y,28))^2)</f>
        <v>31.18638805632996</v>
      </c>
      <c r="AF36" s="9">
        <f>SQRT((INDEX(US_2_x,21)-INDEX(US_2_x,29))^2+(INDEX(US_2_y,21)-INDEX(US_2_y,29))^2)</f>
        <v>29.211992400382414</v>
      </c>
      <c r="AG36" s="9">
        <f>SQRT((INDEX(US_2_x,21)-INDEX(US_2_x,30))^2+(INDEX(US_2_y,21)-INDEX(US_2_y,30))^2)</f>
        <v>30.860865185538785</v>
      </c>
      <c r="AH36" s="9">
        <f>SQRT((INDEX(US_2_x,21)-INDEX(US_2_x,31))^2+(INDEX(US_2_y,21)-INDEX(US_2_y,31))^2)</f>
        <v>31.14236342990044</v>
      </c>
      <c r="AI36" s="9">
        <f>SQRT((INDEX(US_2_x,21)-INDEX(US_2_x,32))^2+(INDEX(US_2_y,21)-INDEX(US_2_y,32))^2)</f>
        <v>12.396531773040389</v>
      </c>
      <c r="AJ36" s="9">
        <f>SQRT((INDEX(US_2_x,21)-INDEX(US_2_x,33))^2+(INDEX(US_2_y,21)-INDEX(US_2_y,33))^2)</f>
        <v>19.528607221202446</v>
      </c>
      <c r="AK36" s="9">
        <f>SQRT((INDEX(US_2_x,21)-INDEX(US_2_x,34))^2+(INDEX(US_2_y,21)-INDEX(US_2_y,34))^2)</f>
        <v>21.745955945876464</v>
      </c>
      <c r="AL36" s="9">
        <f>SQRT((INDEX(US_2_x,21)-INDEX(US_2_x,35))^2+(INDEX(US_2_y,21)-INDEX(US_2_y,35))^2)</f>
        <v>46.06626639961176</v>
      </c>
      <c r="AM36" s="9">
        <f>SQRT((INDEX(US_2_x,21)-INDEX(US_2_x,36))^2+(INDEX(US_2_y,21)-INDEX(US_2_y,36))^2)</f>
        <v>27.952325484653336</v>
      </c>
      <c r="AN36" s="9">
        <f>SQRT((INDEX(US_2_x,21)-INDEX(US_2_x,37))^2+(INDEX(US_2_y,21)-INDEX(US_2_y,37))^2)</f>
        <v>35.00702358099015</v>
      </c>
      <c r="AO36" s="9">
        <f>SQRT((INDEX(US_2_x,21)-INDEX(US_2_x,38))^2+(INDEX(US_2_y,21)-INDEX(US_2_y,38))^2)</f>
        <v>31.189591212454197</v>
      </c>
      <c r="AP36" s="9">
        <f>SQRT((INDEX(US_2_x,21)-INDEX(US_2_x,39))^2+(INDEX(US_2_y,21)-INDEX(US_2_y,39))^2)</f>
        <v>11.356060056199064</v>
      </c>
      <c r="AQ36" s="9">
        <f>SQRT((INDEX(US_2_x,21)-INDEX(US_2_x,40))^2+(INDEX(US_2_y,21)-INDEX(US_2_y,40))^2)</f>
        <v>21.72487054046583</v>
      </c>
      <c r="AR36" s="9">
        <f>SQRT((INDEX(US_2_x,21)-INDEX(US_2_x,41))^2+(INDEX(US_2_y,21)-INDEX(US_2_y,41))^2)</f>
        <v>32.67789007876733</v>
      </c>
      <c r="AS36" s="9">
        <f>SQRT((INDEX(US_2_x,21)-INDEX(US_2_x,42))^2+(INDEX(US_2_y,21)-INDEX(US_2_y,42))^2)</f>
        <v>31.352015884150095</v>
      </c>
      <c r="AT36" s="9">
        <f>SQRT((INDEX(US_2_x,21)-INDEX(US_2_x,43))^2+(INDEX(US_2_y,21)-INDEX(US_2_y,43))^2)</f>
        <v>31.88119978921747</v>
      </c>
      <c r="AU36" s="9">
        <f>SQRT((INDEX(US_2_x,21)-INDEX(US_2_x,44))^2+(INDEX(US_2_y,21)-INDEX(US_2_y,44))^2)</f>
        <v>30.287911780114527</v>
      </c>
      <c r="AV36" s="9">
        <f>SQRT((INDEX(US_2_x,21)-INDEX(US_2_x,45))^2+(INDEX(US_2_y,21)-INDEX(US_2_y,45))^2)</f>
        <v>45.26364766564886</v>
      </c>
      <c r="AW36" s="9">
        <f>SQRT((INDEX(US_2_x,21)-INDEX(US_2_x,46))^2+(INDEX(US_2_y,21)-INDEX(US_2_y,46))^2)</f>
        <v>23.542200406928824</v>
      </c>
      <c r="AX36" s="20">
        <f>SQRT((INDEX(US_2_x,21)-INDEX(US_2_x,47))^2+(INDEX(US_2_y,21)-INDEX(US_2_y,47))^2)</f>
        <v>7.107214644289283</v>
      </c>
      <c r="AY36" s="9">
        <f>SQRT((INDEX(US_2_x,21)-INDEX(US_2_x,48))^2+(INDEX(US_2_y,21)-INDEX(US_2_y,48))^2)</f>
        <v>20.415506361587013</v>
      </c>
      <c r="AZ36" s="9" t="s">
        <v>30</v>
      </c>
      <c r="BA36" s="34">
        <v>44.83</v>
      </c>
      <c r="BB36" s="34">
        <v>33.69</v>
      </c>
    </row>
    <row r="37" spans="3:54" ht="15" thickBot="1" thickTop="1">
      <c r="C37" s="4">
        <v>22</v>
      </c>
      <c r="D37" s="9">
        <f>SQRT((INDEX(US_2_x,22)-INDEX(US_2_x,1))^2+(INDEX(US_2_y,22)-INDEX(US_2_y,1))^2)</f>
        <v>7.199569431570201</v>
      </c>
      <c r="E37" s="9">
        <f>SQRT((INDEX(US_2_x,22)-INDEX(US_2_x,2))^2+(INDEX(US_2_y,22)-INDEX(US_2_y,2))^2)</f>
        <v>40.21370910522928</v>
      </c>
      <c r="F37" s="9">
        <f>SQRT((INDEX(US_2_x,22)-INDEX(US_2_x,3))^2+(INDEX(US_2_y,22)-INDEX(US_2_y,3))^2)</f>
        <v>6.516417727555533</v>
      </c>
      <c r="G37" s="9">
        <f>SQRT((INDEX(US_2_x,22)-INDEX(US_2_x,4))^2+(INDEX(US_2_y,22)-INDEX(US_2_y,4))^2)</f>
        <v>57.063439258425355</v>
      </c>
      <c r="H37" s="9">
        <f>SQRT((INDEX(US_2_x,22)-INDEX(US_2_x,5))^2+(INDEX(US_2_y,22)-INDEX(US_2_y,5))^2)</f>
        <v>30.658631737244896</v>
      </c>
      <c r="I37" s="9">
        <f>SQRT((INDEX(US_2_x,22)-INDEX(US_2_x,6))^2+(INDEX(US_2_y,22)-INDEX(US_2_y,6))^2)</f>
        <v>36.71532786180725</v>
      </c>
      <c r="J37" s="9">
        <f>SQRT((INDEX(US_2_x,22)-INDEX(US_2_x,7))^2+(INDEX(US_2_y,22)-INDEX(US_2_y,7))^2)</f>
        <v>29.929951553585916</v>
      </c>
      <c r="K37" s="9">
        <f>SQRT((INDEX(US_2_x,22)-INDEX(US_2_x,8))^2+(INDEX(US_2_y,22)-INDEX(US_2_y,8))^2)</f>
        <v>11.746744229785552</v>
      </c>
      <c r="L37" s="9">
        <f>SQRT((INDEX(US_2_x,22)-INDEX(US_2_x,9))^2+(INDEX(US_2_y,22)-INDEX(US_2_y,9))^2)</f>
        <v>11.11680709556481</v>
      </c>
      <c r="M37" s="9">
        <f>SQRT((INDEX(US_2_x,22)-INDEX(US_2_x,10))^2+(INDEX(US_2_y,22)-INDEX(US_2_y,10))^2)</f>
        <v>50.76597482566448</v>
      </c>
      <c r="N37" s="9">
        <f>SQRT((INDEX(US_2_x,22)-INDEX(US_2_x,11))^2+(INDEX(US_2_y,22)-INDEX(US_2_y,11))^2)</f>
        <v>16.24409123343008</v>
      </c>
      <c r="O37" s="9">
        <f>SQRT((INDEX(US_2_x,22)-INDEX(US_2_x,12))^2+(INDEX(US_2_y,22)-INDEX(US_2_y,12))^2)</f>
        <v>17.66553990117483</v>
      </c>
      <c r="P37" s="9">
        <f>SQRT((INDEX(US_2_x,22)-INDEX(US_2_x,13))^2+(INDEX(US_2_y,22)-INDEX(US_2_y,13))^2)</f>
        <v>20.957387718892825</v>
      </c>
      <c r="Q37" s="9">
        <f>SQRT((INDEX(US_2_x,22)-INDEX(US_2_x,14))^2+(INDEX(US_2_y,22)-INDEX(US_2_y,14))^2)</f>
        <v>17.529249841336625</v>
      </c>
      <c r="R37" s="9">
        <f>SQRT((INDEX(US_2_x,22)-INDEX(US_2_x,15))^2+(INDEX(US_2_y,22)-INDEX(US_2_y,15))^2)</f>
        <v>15.921196563072764</v>
      </c>
      <c r="S37" s="20">
        <f>SQRT((INDEX(US_2_x,22)-INDEX(US_2_x,16))^2+(INDEX(US_2_y,22)-INDEX(US_2_y,16))^2)</f>
        <v>4.410408144378476</v>
      </c>
      <c r="T37" s="9">
        <f>SQRT((INDEX(US_2_x,22)-INDEX(US_2_x,17))^2+(INDEX(US_2_y,22)-INDEX(US_2_y,17))^2)</f>
        <v>43.448332534172124</v>
      </c>
      <c r="U37" s="9">
        <f>SQRT((INDEX(US_2_x,22)-INDEX(US_2_x,18))^2+(INDEX(US_2_y,22)-INDEX(US_2_y,18))^2)</f>
        <v>28.289080932402168</v>
      </c>
      <c r="V37" s="9">
        <f>SQRT((INDEX(US_2_x,22)-INDEX(US_2_x,19))^2+(INDEX(US_2_y,22)-INDEX(US_2_y,19))^2)</f>
        <v>39.64079968920909</v>
      </c>
      <c r="W37" s="9">
        <f>SQRT((INDEX(US_2_x,22)-INDEX(US_2_x,20))^2+(INDEX(US_2_y,22)-INDEX(US_2_y,20))^2)</f>
        <v>24.592279276228137</v>
      </c>
      <c r="X37" s="9">
        <f>SQRT((INDEX(US_2_x,22)-INDEX(US_2_x,21))^2+(INDEX(US_2_y,22)-INDEX(US_2_y,21))^2)</f>
        <v>27.786696457117745</v>
      </c>
      <c r="Y37" s="9" t="s">
        <v>30</v>
      </c>
      <c r="Z37" s="9">
        <f>SQRT((INDEX(US_2_x,22)-INDEX(US_2_x,23))^2+(INDEX(US_2_y,22)-INDEX(US_2_y,23))^2)</f>
        <v>14.009953604491342</v>
      </c>
      <c r="AA37" s="9">
        <f>SQRT((INDEX(US_2_x,22)-INDEX(US_2_x,24))^2+(INDEX(US_2_y,22)-INDEX(US_2_y,24))^2)</f>
        <v>47.80128136357853</v>
      </c>
      <c r="AB37" s="9">
        <f>SQRT((INDEX(US_2_x,22)-INDEX(US_2_x,25))^2+(INDEX(US_2_y,22)-INDEX(US_2_y,25))^2)</f>
        <v>21.65035796470811</v>
      </c>
      <c r="AC37" s="9">
        <f>SQRT((INDEX(US_2_x,22)-INDEX(US_2_x,26))^2+(INDEX(US_2_y,22)-INDEX(US_2_y,26))^2)</f>
        <v>54.26996591117411</v>
      </c>
      <c r="AD37" s="9">
        <f>SQRT((INDEX(US_2_x,22)-INDEX(US_2_x,27))^2+(INDEX(US_2_y,22)-INDEX(US_2_y,27))^2)</f>
        <v>39.838168883622146</v>
      </c>
      <c r="AE37" s="9">
        <f>SQRT((INDEX(US_2_x,22)-INDEX(US_2_x,28))^2+(INDEX(US_2_y,22)-INDEX(US_2_y,28))^2)</f>
        <v>32.118905647608855</v>
      </c>
      <c r="AF37" s="9">
        <f>SQRT((INDEX(US_2_x,22)-INDEX(US_2_x,29))^2+(INDEX(US_2_y,22)-INDEX(US_2_y,29))^2)</f>
        <v>29.453509128794824</v>
      </c>
      <c r="AG37" s="9">
        <f>SQRT((INDEX(US_2_x,22)-INDEX(US_2_x,30))^2+(INDEX(US_2_y,22)-INDEX(US_2_y,30))^2)</f>
        <v>36.190906316366274</v>
      </c>
      <c r="AH37" s="9">
        <f>SQRT((INDEX(US_2_x,22)-INDEX(US_2_x,31))^2+(INDEX(US_2_y,22)-INDEX(US_2_y,31))^2)</f>
        <v>22.236494777729703</v>
      </c>
      <c r="AI37" s="9">
        <f>SQRT((INDEX(US_2_x,22)-INDEX(US_2_x,32))^2+(INDEX(US_2_y,22)-INDEX(US_2_y,32))^2)</f>
        <v>36.020495554614456</v>
      </c>
      <c r="AJ37" s="9">
        <f>SQRT((INDEX(US_2_x,22)-INDEX(US_2_x,33))^2+(INDEX(US_2_y,22)-INDEX(US_2_y,33))^2)</f>
        <v>20.88442960676686</v>
      </c>
      <c r="AK37" s="9">
        <f>SQRT((INDEX(US_2_x,22)-INDEX(US_2_x,34))^2+(INDEX(US_2_y,22)-INDEX(US_2_y,34))^2)</f>
        <v>14.955911874573212</v>
      </c>
      <c r="AL37" s="9">
        <f>SQRT((INDEX(US_2_x,22)-INDEX(US_2_x,35))^2+(INDEX(US_2_y,22)-INDEX(US_2_y,35))^2)</f>
        <v>61.77808672984297</v>
      </c>
      <c r="AM37" s="9">
        <f>SQRT((INDEX(US_2_x,22)-INDEX(US_2_x,36))^2+(INDEX(US_2_y,22)-INDEX(US_2_y,36))^2)</f>
        <v>29.05024956863538</v>
      </c>
      <c r="AN37" s="9">
        <f>SQRT((INDEX(US_2_x,22)-INDEX(US_2_x,37))^2+(INDEX(US_2_y,22)-INDEX(US_2_y,37))^2)</f>
        <v>38.60588815193869</v>
      </c>
      <c r="AO37" s="9">
        <f>SQRT((INDEX(US_2_x,22)-INDEX(US_2_x,38))^2+(INDEX(US_2_y,22)-INDEX(US_2_y,38))^2)</f>
        <v>17.183238926349134</v>
      </c>
      <c r="AP37" s="9">
        <f>SQRT((INDEX(US_2_x,22)-INDEX(US_2_x,39))^2+(INDEX(US_2_y,22)-INDEX(US_2_y,39))^2)</f>
        <v>31.31078089093275</v>
      </c>
      <c r="AQ37" s="9">
        <f>SQRT((INDEX(US_2_x,22)-INDEX(US_2_x,40))^2+(INDEX(US_2_y,22)-INDEX(US_2_y,40))^2)</f>
        <v>10.390019249260323</v>
      </c>
      <c r="AR37" s="9">
        <f>SQRT((INDEX(US_2_x,22)-INDEX(US_2_x,41))^2+(INDEX(US_2_y,22)-INDEX(US_2_y,41))^2)</f>
        <v>14.78633152610883</v>
      </c>
      <c r="AS37" s="9">
        <f>SQRT((INDEX(US_2_x,22)-INDEX(US_2_x,42))^2+(INDEX(US_2_y,22)-INDEX(US_2_y,42))^2)</f>
        <v>42.100957233773194</v>
      </c>
      <c r="AT37" s="9">
        <f>SQRT((INDEX(US_2_x,22)-INDEX(US_2_x,43))^2+(INDEX(US_2_y,22)-INDEX(US_2_y,43))^2)</f>
        <v>39.681937956707706</v>
      </c>
      <c r="AU37" s="9">
        <f>SQRT((INDEX(US_2_x,22)-INDEX(US_2_x,44))^2+(INDEX(US_2_y,22)-INDEX(US_2_y,44))^2)</f>
        <v>25.52470372012181</v>
      </c>
      <c r="AV37" s="9">
        <f>SQRT((INDEX(US_2_x,22)-INDEX(US_2_x,45))^2+(INDEX(US_2_y,22)-INDEX(US_2_y,45))^2)</f>
        <v>62.89088725721716</v>
      </c>
      <c r="AW37" s="9">
        <f>SQRT((INDEX(US_2_x,22)-INDEX(US_2_x,46))^2+(INDEX(US_2_y,22)-INDEX(US_2_y,46))^2)</f>
        <v>20.110009945298383</v>
      </c>
      <c r="AX37" s="9">
        <f>SQRT((INDEX(US_2_x,22)-INDEX(US_2_x,47))^2+(INDEX(US_2_y,22)-INDEX(US_2_y,47))^2)</f>
        <v>23.351573822764063</v>
      </c>
      <c r="AY37" s="9">
        <f>SQRT((INDEX(US_2_x,22)-INDEX(US_2_x,48))^2+(INDEX(US_2_y,22)-INDEX(US_2_y,48))^2)</f>
        <v>31.884648343677867</v>
      </c>
      <c r="AZ37" s="9" t="s">
        <v>30</v>
      </c>
      <c r="BA37" s="34">
        <v>61.01</v>
      </c>
      <c r="BB37" s="34">
        <v>11.1</v>
      </c>
    </row>
    <row r="38" spans="3:54" ht="15" thickBot="1" thickTop="1">
      <c r="C38" s="4">
        <v>23</v>
      </c>
      <c r="D38" s="9">
        <f>SQRT((INDEX(US_2_x,23)-INDEX(US_2_x,1))^2+(INDEX(US_2_y,23)-INDEX(US_2_y,1))^2)</f>
        <v>16.993133907552192</v>
      </c>
      <c r="E38" s="9">
        <f>SQRT((INDEX(US_2_x,23)-INDEX(US_2_x,2))^2+(INDEX(US_2_y,23)-INDEX(US_2_y,2))^2)</f>
        <v>36.762399268818136</v>
      </c>
      <c r="F38" s="9">
        <f>SQRT((INDEX(US_2_x,23)-INDEX(US_2_x,3))^2+(INDEX(US_2_y,23)-INDEX(US_2_y,3))^2)</f>
        <v>8.271184921158513</v>
      </c>
      <c r="G38" s="9">
        <f>SQRT((INDEX(US_2_x,23)-INDEX(US_2_x,4))^2+(INDEX(US_2_y,23)-INDEX(US_2_y,4))^2)</f>
        <v>49.81875650796596</v>
      </c>
      <c r="H38" s="9">
        <f>SQRT((INDEX(US_2_x,23)-INDEX(US_2_x,5))^2+(INDEX(US_2_y,23)-INDEX(US_2_y,5))^2)</f>
        <v>21.84292333915037</v>
      </c>
      <c r="I38" s="9">
        <f>SQRT((INDEX(US_2_x,23)-INDEX(US_2_x,6))^2+(INDEX(US_2_y,23)-INDEX(US_2_y,6))^2)</f>
        <v>33.141299008940486</v>
      </c>
      <c r="J38" s="9">
        <f>SQRT((INDEX(US_2_x,23)-INDEX(US_2_x,7))^2+(INDEX(US_2_y,23)-INDEX(US_2_y,7))^2)</f>
        <v>28.264875729427857</v>
      </c>
      <c r="K38" s="9">
        <f>SQRT((INDEX(US_2_x,23)-INDEX(US_2_x,8))^2+(INDEX(US_2_y,23)-INDEX(US_2_y,8))^2)</f>
        <v>22.59148512161164</v>
      </c>
      <c r="L38" s="9">
        <f>SQRT((INDEX(US_2_x,23)-INDEX(US_2_x,9))^2+(INDEX(US_2_y,23)-INDEX(US_2_y,9))^2)</f>
        <v>17.247637519382184</v>
      </c>
      <c r="M38" s="9">
        <f>SQRT((INDEX(US_2_x,23)-INDEX(US_2_x,10))^2+(INDEX(US_2_y,23)-INDEX(US_2_y,10))^2)</f>
        <v>40.89163484137068</v>
      </c>
      <c r="N38" s="9">
        <f>SQRT((INDEX(US_2_x,23)-INDEX(US_2_x,11))^2+(INDEX(US_2_y,23)-INDEX(US_2_y,11))^2)</f>
        <v>5.021324526457136</v>
      </c>
      <c r="O38" s="9">
        <f>SQRT((INDEX(US_2_x,23)-INDEX(US_2_x,12))^2+(INDEX(US_2_y,23)-INDEX(US_2_y,12))^2)</f>
        <v>10.495622897189094</v>
      </c>
      <c r="P38" s="9">
        <f>SQRT((INDEX(US_2_x,23)-INDEX(US_2_x,13))^2+(INDEX(US_2_y,23)-INDEX(US_2_y,13))^2)</f>
        <v>6.96500538406109</v>
      </c>
      <c r="Q38" s="20">
        <f>SQRT((INDEX(US_2_x,23)-INDEX(US_2_x,14))^2+(INDEX(US_2_y,23)-INDEX(US_2_y,14))^2)</f>
        <v>6.051264330699829</v>
      </c>
      <c r="R38" s="9">
        <f>SQRT((INDEX(US_2_x,23)-INDEX(US_2_x,15))^2+(INDEX(US_2_y,23)-INDEX(US_2_y,15))^2)</f>
        <v>12.52559379829954</v>
      </c>
      <c r="S38" s="9">
        <f>SQRT((INDEX(US_2_x,23)-INDEX(US_2_x,16))^2+(INDEX(US_2_y,23)-INDEX(US_2_y,16))^2)</f>
        <v>17.645489508653476</v>
      </c>
      <c r="T38" s="9">
        <f>SQRT((INDEX(US_2_x,23)-INDEX(US_2_x,17))^2+(INDEX(US_2_y,23)-INDEX(US_2_y,17))^2)</f>
        <v>38.509411836588725</v>
      </c>
      <c r="U38" s="9">
        <f>SQRT((INDEX(US_2_x,23)-INDEX(US_2_x,18))^2+(INDEX(US_2_y,23)-INDEX(US_2_y,18))^2)</f>
        <v>26.65264152011954</v>
      </c>
      <c r="V38" s="9">
        <f>SQRT((INDEX(US_2_x,23)-INDEX(US_2_x,19))^2+(INDEX(US_2_y,23)-INDEX(US_2_y,19))^2)</f>
        <v>35.87864267220821</v>
      </c>
      <c r="W38" s="9">
        <f>SQRT((INDEX(US_2_x,23)-INDEX(US_2_x,20))^2+(INDEX(US_2_y,23)-INDEX(US_2_y,20))^2)</f>
        <v>15.469460236220266</v>
      </c>
      <c r="X38" s="9">
        <f>SQRT((INDEX(US_2_x,23)-INDEX(US_2_x,21))^2+(INDEX(US_2_y,23)-INDEX(US_2_y,21))^2)</f>
        <v>13.862268934052606</v>
      </c>
      <c r="Y38" s="9">
        <f>SQRT((INDEX(US_2_x,23)-INDEX(US_2_x,22))^2+(INDEX(US_2_y,23)-INDEX(US_2_y,22))^2)</f>
        <v>14.009953604491342</v>
      </c>
      <c r="Z38" s="9" t="s">
        <v>30</v>
      </c>
      <c r="AA38" s="9">
        <f>SQRT((INDEX(US_2_x,23)-INDEX(US_2_x,24))^2+(INDEX(US_2_y,23)-INDEX(US_2_y,24))^2)</f>
        <v>36.207022799451494</v>
      </c>
      <c r="AB38" s="9">
        <f>SQRT((INDEX(US_2_x,23)-INDEX(US_2_x,25))^2+(INDEX(US_2_y,23)-INDEX(US_2_y,25))^2)</f>
        <v>9.0291970850126</v>
      </c>
      <c r="AC38" s="9">
        <f>SQRT((INDEX(US_2_x,23)-INDEX(US_2_x,26))^2+(INDEX(US_2_y,23)-INDEX(US_2_y,26))^2)</f>
        <v>46.74350436156879</v>
      </c>
      <c r="AD38" s="9">
        <f>SQRT((INDEX(US_2_x,23)-INDEX(US_2_x,27))^2+(INDEX(US_2_y,23)-INDEX(US_2_y,27))^2)</f>
        <v>35.361709517499285</v>
      </c>
      <c r="AE38" s="9">
        <f>SQRT((INDEX(US_2_x,23)-INDEX(US_2_x,28))^2+(INDEX(US_2_y,23)-INDEX(US_2_y,28))^2)</f>
        <v>29.531957266662836</v>
      </c>
      <c r="AF38" s="9">
        <f>SQRT((INDEX(US_2_x,23)-INDEX(US_2_x,29))^2+(INDEX(US_2_y,23)-INDEX(US_2_y,29))^2)</f>
        <v>24.742594851793537</v>
      </c>
      <c r="AG38" s="9">
        <f>SQRT((INDEX(US_2_x,23)-INDEX(US_2_x,30))^2+(INDEX(US_2_y,23)-INDEX(US_2_y,30))^2)</f>
        <v>31.680254102516283</v>
      </c>
      <c r="AH38" s="9">
        <f>SQRT((INDEX(US_2_x,23)-INDEX(US_2_x,31))^2+(INDEX(US_2_y,23)-INDEX(US_2_y,31))^2)</f>
        <v>24.26288729726947</v>
      </c>
      <c r="AI38" s="9">
        <f>SQRT((INDEX(US_2_x,23)-INDEX(US_2_x,32))^2+(INDEX(US_2_y,23)-INDEX(US_2_y,32))^2)</f>
        <v>22.537180391521915</v>
      </c>
      <c r="AJ38" s="9">
        <f>SQRT((INDEX(US_2_x,23)-INDEX(US_2_x,33))^2+(INDEX(US_2_y,23)-INDEX(US_2_y,33))^2)</f>
        <v>15.77215901517608</v>
      </c>
      <c r="AK38" s="9">
        <f>SQRT((INDEX(US_2_x,23)-INDEX(US_2_x,34))^2+(INDEX(US_2_y,23)-INDEX(US_2_y,34))^2)</f>
        <v>11.47840145664892</v>
      </c>
      <c r="AL38" s="9">
        <f>SQRT((INDEX(US_2_x,23)-INDEX(US_2_x,35))^2+(INDEX(US_2_y,23)-INDEX(US_2_y,35))^2)</f>
        <v>51.76111668038085</v>
      </c>
      <c r="AM38" s="9">
        <f>SQRT((INDEX(US_2_x,23)-INDEX(US_2_x,36))^2+(INDEX(US_2_y,23)-INDEX(US_2_y,36))^2)</f>
        <v>25.97847185651997</v>
      </c>
      <c r="AN38" s="9">
        <f>SQRT((INDEX(US_2_x,23)-INDEX(US_2_x,37))^2+(INDEX(US_2_y,23)-INDEX(US_2_y,37))^2)</f>
        <v>35.20161644015798</v>
      </c>
      <c r="AO38" s="9">
        <f>SQRT((INDEX(US_2_x,23)-INDEX(US_2_x,38))^2+(INDEX(US_2_y,23)-INDEX(US_2_y,38))^2)</f>
        <v>21.93876249928423</v>
      </c>
      <c r="AP38" s="9">
        <f>SQRT((INDEX(US_2_x,23)-INDEX(US_2_x,39))^2+(INDEX(US_2_y,23)-INDEX(US_2_y,39))^2)</f>
        <v>18.329849972108335</v>
      </c>
      <c r="AQ38" s="9">
        <f>SQRT((INDEX(US_2_x,23)-INDEX(US_2_x,40))^2+(INDEX(US_2_y,23)-INDEX(US_2_y,40))^2)</f>
        <v>10.730298225119373</v>
      </c>
      <c r="AR38" s="9">
        <f>SQRT((INDEX(US_2_x,23)-INDEX(US_2_x,41))^2+(INDEX(US_2_y,23)-INDEX(US_2_y,41))^2)</f>
        <v>20.53182894921931</v>
      </c>
      <c r="AS38" s="9">
        <f>SQRT((INDEX(US_2_x,23)-INDEX(US_2_x,42))^2+(INDEX(US_2_y,23)-INDEX(US_2_y,42))^2)</f>
        <v>33.397392113756425</v>
      </c>
      <c r="AT38" s="9">
        <f>SQRT((INDEX(US_2_x,23)-INDEX(US_2_x,43))^2+(INDEX(US_2_y,23)-INDEX(US_2_y,43))^2)</f>
        <v>34.22374906406368</v>
      </c>
      <c r="AU38" s="9">
        <f>SQRT((INDEX(US_2_x,23)-INDEX(US_2_x,44))^2+(INDEX(US_2_y,23)-INDEX(US_2_y,44))^2)</f>
        <v>25.403442680077834</v>
      </c>
      <c r="AV38" s="9">
        <f>SQRT((INDEX(US_2_x,23)-INDEX(US_2_x,45))^2+(INDEX(US_2_y,23)-INDEX(US_2_y,45))^2)</f>
        <v>52.12461702497199</v>
      </c>
      <c r="AW38" s="9">
        <f>SQRT((INDEX(US_2_x,23)-INDEX(US_2_x,46))^2+(INDEX(US_2_y,23)-INDEX(US_2_y,46))^2)</f>
        <v>18.00940032316456</v>
      </c>
      <c r="AX38" s="9">
        <f>SQRT((INDEX(US_2_x,23)-INDEX(US_2_x,47))^2+(INDEX(US_2_y,23)-INDEX(US_2_y,47))^2)</f>
        <v>10.760910742125871</v>
      </c>
      <c r="AY38" s="9">
        <f>SQRT((INDEX(US_2_x,23)-INDEX(US_2_x,48))^2+(INDEX(US_2_y,23)-INDEX(US_2_y,48))^2)</f>
        <v>21.8919528594413</v>
      </c>
      <c r="AZ38" s="9" t="s">
        <v>30</v>
      </c>
      <c r="BA38" s="34">
        <v>51.99</v>
      </c>
      <c r="BB38" s="34">
        <v>21.82</v>
      </c>
    </row>
    <row r="39" spans="3:54" ht="15" thickBot="1" thickTop="1">
      <c r="C39" s="4">
        <v>24</v>
      </c>
      <c r="D39" s="9">
        <f>SQRT((INDEX(US_2_x,24)-INDEX(US_2_x,1))^2+(INDEX(US_2_y,24)-INDEX(US_2_y,1))^2)</f>
        <v>52.78156591083672</v>
      </c>
      <c r="E39" s="9">
        <f>SQRT((INDEX(US_2_x,24)-INDEX(US_2_x,2))^2+(INDEX(US_2_y,24)-INDEX(US_2_y,2))^2)</f>
        <v>28.6258641790951</v>
      </c>
      <c r="F39" s="9">
        <f>SQRT((INDEX(US_2_x,24)-INDEX(US_2_x,3))^2+(INDEX(US_2_y,24)-INDEX(US_2_y,3))^2)</f>
        <v>41.35799076357554</v>
      </c>
      <c r="G39" s="9">
        <f>SQRT((INDEX(US_2_x,24)-INDEX(US_2_x,4))^2+(INDEX(US_2_y,24)-INDEX(US_2_y,4))^2)</f>
        <v>23.218199757948504</v>
      </c>
      <c r="H39" s="9">
        <f>SQRT((INDEX(US_2_x,24)-INDEX(US_2_x,5))^2+(INDEX(US_2_y,24)-INDEX(US_2_y,5))^2)</f>
        <v>18.592541515349644</v>
      </c>
      <c r="I39" s="9">
        <f>SQRT((INDEX(US_2_x,24)-INDEX(US_2_x,6))^2+(INDEX(US_2_y,24)-INDEX(US_2_y,6))^2)</f>
        <v>61.983728509988815</v>
      </c>
      <c r="J39" s="9">
        <f>SQRT((INDEX(US_2_x,24)-INDEX(US_2_x,7))^2+(INDEX(US_2_y,24)-INDEX(US_2_y,7))^2)</f>
        <v>60.08847560056754</v>
      </c>
      <c r="K39" s="9">
        <f>SQRT((INDEX(US_2_x,24)-INDEX(US_2_x,8))^2+(INDEX(US_2_y,24)-INDEX(US_2_y,8))^2)</f>
        <v>58.39015756101366</v>
      </c>
      <c r="L39" s="9">
        <f>SQRT((INDEX(US_2_x,24)-INDEX(US_2_x,9))^2+(INDEX(US_2_y,24)-INDEX(US_2_y,9))^2)</f>
        <v>53.45465461491637</v>
      </c>
      <c r="M39" s="9">
        <f>SQRT((INDEX(US_2_x,24)-INDEX(US_2_x,10))^2+(INDEX(US_2_y,24)-INDEX(US_2_y,10))^2)</f>
        <v>9.214342081776648</v>
      </c>
      <c r="N39" s="9">
        <f>SQRT((INDEX(US_2_x,24)-INDEX(US_2_x,11))^2+(INDEX(US_2_y,24)-INDEX(US_2_y,11))^2)</f>
        <v>38.40368992688072</v>
      </c>
      <c r="O39" s="9">
        <f>SQRT((INDEX(US_2_x,24)-INDEX(US_2_x,12))^2+(INDEX(US_2_y,24)-INDEX(US_2_y,12))^2)</f>
        <v>43.56470130736581</v>
      </c>
      <c r="P39" s="9">
        <f>SQRT((INDEX(US_2_x,24)-INDEX(US_2_x,13))^2+(INDEX(US_2_y,24)-INDEX(US_2_y,13))^2)</f>
        <v>30.75963913962581</v>
      </c>
      <c r="Q39" s="9">
        <f>SQRT((INDEX(US_2_x,24)-INDEX(US_2_x,14))^2+(INDEX(US_2_y,24)-INDEX(US_2_y,14))^2)</f>
        <v>30.77907893358734</v>
      </c>
      <c r="R39" s="9">
        <f>SQRT((INDEX(US_2_x,24)-INDEX(US_2_x,15))^2+(INDEX(US_2_y,24)-INDEX(US_2_y,15))^2)</f>
        <v>47.156836195826365</v>
      </c>
      <c r="S39" s="9">
        <f>SQRT((INDEX(US_2_x,24)-INDEX(US_2_x,16))^2+(INDEX(US_2_y,24)-INDEX(US_2_y,16))^2)</f>
        <v>49.59463277412184</v>
      </c>
      <c r="T39" s="9">
        <f>SQRT((INDEX(US_2_x,24)-INDEX(US_2_x,17))^2+(INDEX(US_2_y,24)-INDEX(US_2_y,17))^2)</f>
        <v>64.3250410027075</v>
      </c>
      <c r="U39" s="9">
        <f>SQRT((INDEX(US_2_x,24)-INDEX(US_2_x,18))^2+(INDEX(US_2_y,24)-INDEX(US_2_y,18))^2)</f>
        <v>58.810885046902676</v>
      </c>
      <c r="V39" s="9">
        <f>SQRT((INDEX(US_2_x,24)-INDEX(US_2_x,19))^2+(INDEX(US_2_y,24)-INDEX(US_2_y,19))^2)</f>
        <v>63.92276355102304</v>
      </c>
      <c r="W39" s="9">
        <f>SQRT((INDEX(US_2_x,24)-INDEX(US_2_x,20))^2+(INDEX(US_2_y,24)-INDEX(US_2_y,20))^2)</f>
        <v>43.327581284904426</v>
      </c>
      <c r="X39" s="9">
        <f>SQRT((INDEX(US_2_x,24)-INDEX(US_2_x,21))^2+(INDEX(US_2_y,24)-INDEX(US_2_y,21))^2)</f>
        <v>29.044965140278617</v>
      </c>
      <c r="Y39" s="9">
        <f>SQRT((INDEX(US_2_x,24)-INDEX(US_2_x,22))^2+(INDEX(US_2_y,24)-INDEX(US_2_y,22))^2)</f>
        <v>47.80128136357853</v>
      </c>
      <c r="Z39" s="9">
        <f>SQRT((INDEX(US_2_x,24)-INDEX(US_2_x,23))^2+(INDEX(US_2_y,24)-INDEX(US_2_y,23))^2)</f>
        <v>36.207022799451494</v>
      </c>
      <c r="AA39" s="9" t="s">
        <v>30</v>
      </c>
      <c r="AB39" s="9">
        <f>SQRT((INDEX(US_2_x,24)-INDEX(US_2_x,25))^2+(INDEX(US_2_y,24)-INDEX(US_2_y,25))^2)</f>
        <v>27.179854672164826</v>
      </c>
      <c r="AC39" s="9">
        <f>SQRT((INDEX(US_2_x,24)-INDEX(US_2_x,26))^2+(INDEX(US_2_y,24)-INDEX(US_2_y,26))^2)</f>
        <v>20.417083533159186</v>
      </c>
      <c r="AD39" s="9">
        <f>SQRT((INDEX(US_2_x,24)-INDEX(US_2_x,27))^2+(INDEX(US_2_y,24)-INDEX(US_2_y,27))^2)</f>
        <v>62.538135565429194</v>
      </c>
      <c r="AE39" s="9">
        <f>SQRT((INDEX(US_2_x,24)-INDEX(US_2_x,28))^2+(INDEX(US_2_y,24)-INDEX(US_2_y,28))^2)</f>
        <v>60.23126098630179</v>
      </c>
      <c r="AF39" s="9">
        <f>SQRT((INDEX(US_2_x,24)-INDEX(US_2_x,29))^2+(INDEX(US_2_y,24)-INDEX(US_2_y,29))^2)</f>
        <v>25.68802250076872</v>
      </c>
      <c r="AG39" s="9">
        <f>SQRT((INDEX(US_2_x,24)-INDEX(US_2_x,30))^2+(INDEX(US_2_y,24)-INDEX(US_2_y,30))^2)</f>
        <v>59.65464776528313</v>
      </c>
      <c r="AH39" s="9">
        <f>SQRT((INDEX(US_2_x,24)-INDEX(US_2_x,31))^2+(INDEX(US_2_y,24)-INDEX(US_2_y,31))^2)</f>
        <v>59.12005412717414</v>
      </c>
      <c r="AI39" s="20">
        <f>SQRT((INDEX(US_2_x,24)-INDEX(US_2_x,32))^2+(INDEX(US_2_y,24)-INDEX(US_2_y,32))^2)</f>
        <v>16.865823430831952</v>
      </c>
      <c r="AJ39" s="9">
        <f>SQRT((INDEX(US_2_x,24)-INDEX(US_2_x,33))^2+(INDEX(US_2_y,24)-INDEX(US_2_y,33))^2)</f>
        <v>48.06801951401785</v>
      </c>
      <c r="AK39" s="9">
        <f>SQRT((INDEX(US_2_x,24)-INDEX(US_2_x,34))^2+(INDEX(US_2_y,24)-INDEX(US_2_y,34))^2)</f>
        <v>33.831857767494824</v>
      </c>
      <c r="AL39" s="9">
        <f>SQRT((INDEX(US_2_x,24)-INDEX(US_2_x,35))^2+(INDEX(US_2_y,24)-INDEX(US_2_y,35))^2)</f>
        <v>17.157357022571976</v>
      </c>
      <c r="AM39" s="9">
        <f>SQRT((INDEX(US_2_x,24)-INDEX(US_2_x,36))^2+(INDEX(US_2_y,24)-INDEX(US_2_y,36))^2)</f>
        <v>56.98168565425211</v>
      </c>
      <c r="AN39" s="9">
        <f>SQRT((INDEX(US_2_x,24)-INDEX(US_2_x,37))^2+(INDEX(US_2_y,24)-INDEX(US_2_y,37))^2)</f>
        <v>63.8392019060389</v>
      </c>
      <c r="AO39" s="9">
        <f>SQRT((INDEX(US_2_x,24)-INDEX(US_2_x,38))^2+(INDEX(US_2_y,24)-INDEX(US_2_y,38))^2)</f>
        <v>57.86648943905273</v>
      </c>
      <c r="AP39" s="9">
        <f>SQRT((INDEX(US_2_x,24)-INDEX(US_2_x,39))^2+(INDEX(US_2_y,24)-INDEX(US_2_y,39))^2)</f>
        <v>18.51108046549418</v>
      </c>
      <c r="AQ39" s="9">
        <f>SQRT((INDEX(US_2_x,24)-INDEX(US_2_x,40))^2+(INDEX(US_2_y,24)-INDEX(US_2_y,40))^2)</f>
        <v>46.86717401337529</v>
      </c>
      <c r="AR39" s="9">
        <f>SQRT((INDEX(US_2_x,24)-INDEX(US_2_x,41))^2+(INDEX(US_2_y,24)-INDEX(US_2_y,41))^2)</f>
        <v>42.8479462751717</v>
      </c>
      <c r="AS39" s="9">
        <f>SQRT((INDEX(US_2_x,24)-INDEX(US_2_x,42))^2+(INDEX(US_2_y,24)-INDEX(US_2_y,42))^2)</f>
        <v>12.718840355944407</v>
      </c>
      <c r="AT39" s="9">
        <f>SQRT((INDEX(US_2_x,24)-INDEX(US_2_x,43))^2+(INDEX(US_2_y,24)-INDEX(US_2_y,43))^2)</f>
        <v>60.21354415744019</v>
      </c>
      <c r="AU39" s="9">
        <f>SQRT((INDEX(US_2_x,24)-INDEX(US_2_x,44))^2+(INDEX(US_2_y,24)-INDEX(US_2_y,44))^2)</f>
        <v>58.917124844988834</v>
      </c>
      <c r="AV39" s="9">
        <f>SQRT((INDEX(US_2_x,24)-INDEX(US_2_x,45))^2+(INDEX(US_2_y,24)-INDEX(US_2_y,45))^2)</f>
        <v>16.284403581341255</v>
      </c>
      <c r="AW39" s="9">
        <f>SQRT((INDEX(US_2_x,24)-INDEX(US_2_x,46))^2+(INDEX(US_2_y,24)-INDEX(US_2_y,46))^2)</f>
        <v>51.772707095534415</v>
      </c>
      <c r="AX39" s="9">
        <f>SQRT((INDEX(US_2_x,24)-INDEX(US_2_x,47))^2+(INDEX(US_2_y,24)-INDEX(US_2_y,47))^2)</f>
        <v>35.80266051566559</v>
      </c>
      <c r="AY39" s="9">
        <f>SQRT((INDEX(US_2_x,24)-INDEX(US_2_x,48))^2+(INDEX(US_2_y,24)-INDEX(US_2_y,48))^2)</f>
        <v>16.382273956932842</v>
      </c>
      <c r="AZ39" s="9" t="s">
        <v>30</v>
      </c>
      <c r="BA39" s="34">
        <v>16.33</v>
      </c>
      <c r="BB39" s="34">
        <v>28.09</v>
      </c>
    </row>
    <row r="40" spans="3:54" ht="15" thickBot="1" thickTop="1">
      <c r="C40" s="4">
        <v>25</v>
      </c>
      <c r="D40" s="9">
        <f>SQRT((INDEX(US_2_x,25)-INDEX(US_2_x,1))^2+(INDEX(US_2_y,25)-INDEX(US_2_y,1))^2)</f>
        <v>25.778847918400082</v>
      </c>
      <c r="E40" s="9">
        <f>SQRT((INDEX(US_2_x,25)-INDEX(US_2_x,2))^2+(INDEX(US_2_y,25)-INDEX(US_2_y,2))^2)</f>
        <v>31.059330321177242</v>
      </c>
      <c r="F40" s="9">
        <f>SQRT((INDEX(US_2_x,25)-INDEX(US_2_x,3))^2+(INDEX(US_2_y,25)-INDEX(US_2_y,3))^2)</f>
        <v>15.17278155118566</v>
      </c>
      <c r="G40" s="9">
        <f>SQRT((INDEX(US_2_x,25)-INDEX(US_2_x,4))^2+(INDEX(US_2_y,25)-INDEX(US_2_y,4))^2)</f>
        <v>41.77343294487538</v>
      </c>
      <c r="H40" s="9">
        <f>SQRT((INDEX(US_2_x,25)-INDEX(US_2_x,5))^2+(INDEX(US_2_y,25)-INDEX(US_2_y,5))^2)</f>
        <v>14.001103527936646</v>
      </c>
      <c r="I40" s="9">
        <f>SQRT((INDEX(US_2_x,25)-INDEX(US_2_x,6))^2+(INDEX(US_2_y,25)-INDEX(US_2_y,6))^2)</f>
        <v>39.31805819213354</v>
      </c>
      <c r="J40" s="9">
        <f>SQRT((INDEX(US_2_x,25)-INDEX(US_2_x,7))^2+(INDEX(US_2_y,25)-INDEX(US_2_y,7))^2)</f>
        <v>35.51055054487328</v>
      </c>
      <c r="K40" s="9">
        <f>SQRT((INDEX(US_2_x,25)-INDEX(US_2_x,8))^2+(INDEX(US_2_y,25)-INDEX(US_2_y,8))^2)</f>
        <v>31.40171969813119</v>
      </c>
      <c r="L40" s="9">
        <f>SQRT((INDEX(US_2_x,25)-INDEX(US_2_x,9))^2+(INDEX(US_2_y,25)-INDEX(US_2_y,9))^2)</f>
        <v>26.27593956455221</v>
      </c>
      <c r="M40" s="9">
        <f>SQRT((INDEX(US_2_x,25)-INDEX(US_2_x,10))^2+(INDEX(US_2_y,25)-INDEX(US_2_y,10))^2)</f>
        <v>32.06642168998593</v>
      </c>
      <c r="N40" s="9">
        <f>SQRT((INDEX(US_2_x,25)-INDEX(US_2_x,11))^2+(INDEX(US_2_y,25)-INDEX(US_2_y,11))^2)</f>
        <v>11.952309400279093</v>
      </c>
      <c r="O40" s="9">
        <f>SQRT((INDEX(US_2_x,25)-INDEX(US_2_x,12))^2+(INDEX(US_2_y,25)-INDEX(US_2_y,12))^2)</f>
        <v>17.69950564281387</v>
      </c>
      <c r="P40" s="20">
        <f>SQRT((INDEX(US_2_x,25)-INDEX(US_2_x,13))^2+(INDEX(US_2_y,25)-INDEX(US_2_y,13))^2)</f>
        <v>5.320761223734816</v>
      </c>
      <c r="Q40" s="9">
        <f>SQRT((INDEX(US_2_x,25)-INDEX(US_2_x,14))^2+(INDEX(US_2_y,25)-INDEX(US_2_y,14))^2)</f>
        <v>4.188006685763523</v>
      </c>
      <c r="R40" s="9">
        <f>SQRT((INDEX(US_2_x,25)-INDEX(US_2_x,15))^2+(INDEX(US_2_y,25)-INDEX(US_2_y,15))^2)</f>
        <v>20.716951995889744</v>
      </c>
      <c r="S40" s="9">
        <f>SQRT((INDEX(US_2_x,25)-INDEX(US_2_x,16))^2+(INDEX(US_2_y,25)-INDEX(US_2_y,16))^2)</f>
        <v>24.438512638865728</v>
      </c>
      <c r="T40" s="9">
        <f>SQRT((INDEX(US_2_x,25)-INDEX(US_2_x,17))^2+(INDEX(US_2_y,25)-INDEX(US_2_y,17))^2)</f>
        <v>43.712080710027976</v>
      </c>
      <c r="U40" s="9">
        <f>SQRT((INDEX(US_2_x,25)-INDEX(US_2_x,18))^2+(INDEX(US_2_y,25)-INDEX(US_2_y,18))^2)</f>
        <v>34.002719008926334</v>
      </c>
      <c r="V40" s="9">
        <f>SQRT((INDEX(US_2_x,25)-INDEX(US_2_x,19))^2+(INDEX(US_2_y,25)-INDEX(US_2_y,19))^2)</f>
        <v>41.827533993770174</v>
      </c>
      <c r="W40" s="9">
        <f>SQRT((INDEX(US_2_x,25)-INDEX(US_2_x,20))^2+(INDEX(US_2_y,25)-INDEX(US_2_y,20))^2)</f>
        <v>20.18110502425474</v>
      </c>
      <c r="X40" s="9">
        <f>SQRT((INDEX(US_2_x,25)-INDEX(US_2_x,21))^2+(INDEX(US_2_y,25)-INDEX(US_2_y,21))^2)</f>
        <v>10.616896910114555</v>
      </c>
      <c r="Y40" s="9">
        <f>SQRT((INDEX(US_2_x,25)-INDEX(US_2_x,22))^2+(INDEX(US_2_y,25)-INDEX(US_2_y,22))^2)</f>
        <v>21.65035796470811</v>
      </c>
      <c r="Z40" s="9">
        <f>SQRT((INDEX(US_2_x,25)-INDEX(US_2_x,23))^2+(INDEX(US_2_y,25)-INDEX(US_2_y,23))^2)</f>
        <v>9.0291970850126</v>
      </c>
      <c r="AA40" s="9">
        <f>SQRT((INDEX(US_2_x,25)-INDEX(US_2_x,24))^2+(INDEX(US_2_y,25)-INDEX(US_2_y,24))^2)</f>
        <v>27.179854672164826</v>
      </c>
      <c r="AB40" s="9" t="s">
        <v>30</v>
      </c>
      <c r="AC40" s="9">
        <f>SQRT((INDEX(US_2_x,25)-INDEX(US_2_x,26))^2+(INDEX(US_2_y,25)-INDEX(US_2_y,26))^2)</f>
        <v>38.630661397392615</v>
      </c>
      <c r="AD40" s="9">
        <f>SQRT((INDEX(US_2_x,25)-INDEX(US_2_x,27))^2+(INDEX(US_2_y,25)-INDEX(US_2_y,27))^2)</f>
        <v>40.96890650237079</v>
      </c>
      <c r="AE40" s="9">
        <f>SQRT((INDEX(US_2_x,25)-INDEX(US_2_x,28))^2+(INDEX(US_2_y,25)-INDEX(US_2_y,28))^2)</f>
        <v>36.346990246786596</v>
      </c>
      <c r="AF40" s="9">
        <f>SQRT((INDEX(US_2_x,25)-INDEX(US_2_x,29))^2+(INDEX(US_2_y,25)-INDEX(US_2_y,29))^2)</f>
        <v>19.31128167678158</v>
      </c>
      <c r="AG40" s="9">
        <f>SQRT((INDEX(US_2_x,25)-INDEX(US_2_x,30))^2+(INDEX(US_2_y,25)-INDEX(US_2_y,30))^2)</f>
        <v>37.47249791513771</v>
      </c>
      <c r="AH40" s="9">
        <f>SQRT((INDEX(US_2_x,25)-INDEX(US_2_x,31))^2+(INDEX(US_2_y,25)-INDEX(US_2_y,31))^2)</f>
        <v>32.73237693782717</v>
      </c>
      <c r="AI40" s="9">
        <f>SQRT((INDEX(US_2_x,25)-INDEX(US_2_x,32))^2+(INDEX(US_2_y,25)-INDEX(US_2_y,32))^2)</f>
        <v>14.471119514398323</v>
      </c>
      <c r="AJ40" s="9">
        <f>SQRT((INDEX(US_2_x,25)-INDEX(US_2_x,33))^2+(INDEX(US_2_y,25)-INDEX(US_2_y,33))^2)</f>
        <v>22.834977556371722</v>
      </c>
      <c r="AK40" s="9">
        <f>SQRT((INDEX(US_2_x,25)-INDEX(US_2_x,34))^2+(INDEX(US_2_y,25)-INDEX(US_2_y,34))^2)</f>
        <v>11.636051735876734</v>
      </c>
      <c r="AL40" s="9">
        <f>SQRT((INDEX(US_2_x,25)-INDEX(US_2_x,35))^2+(INDEX(US_2_y,25)-INDEX(US_2_y,35))^2)</f>
        <v>42.853111905671454</v>
      </c>
      <c r="AM40" s="9">
        <f>SQRT((INDEX(US_2_x,25)-INDEX(US_2_x,36))^2+(INDEX(US_2_y,25)-INDEX(US_2_y,36))^2)</f>
        <v>32.821227886841776</v>
      </c>
      <c r="AN40" s="9">
        <f>SQRT((INDEX(US_2_x,25)-INDEX(US_2_x,37))^2+(INDEX(US_2_y,25)-INDEX(US_2_y,37))^2)</f>
        <v>41.35644327066824</v>
      </c>
      <c r="AO40" s="9">
        <f>SQRT((INDEX(US_2_x,25)-INDEX(US_2_x,38))^2+(INDEX(US_2_y,25)-INDEX(US_2_y,38))^2)</f>
        <v>30.859859040507622</v>
      </c>
      <c r="AP40" s="9">
        <f>SQRT((INDEX(US_2_x,25)-INDEX(US_2_x,39))^2+(INDEX(US_2_y,25)-INDEX(US_2_y,39))^2)</f>
        <v>9.666322982396148</v>
      </c>
      <c r="AQ40" s="9">
        <f>SQRT((INDEX(US_2_x,25)-INDEX(US_2_x,40))^2+(INDEX(US_2_y,25)-INDEX(US_2_y,40))^2)</f>
        <v>19.72882409065477</v>
      </c>
      <c r="AR40" s="9">
        <f>SQRT((INDEX(US_2_x,25)-INDEX(US_2_x,41))^2+(INDEX(US_2_y,25)-INDEX(US_2_y,41))^2)</f>
        <v>22.849087509132616</v>
      </c>
      <c r="AS40" s="9">
        <f>SQRT((INDEX(US_2_x,25)-INDEX(US_2_x,42))^2+(INDEX(US_2_y,25)-INDEX(US_2_y,42))^2)</f>
        <v>25.067688365702967</v>
      </c>
      <c r="AT40" s="9">
        <f>SQRT((INDEX(US_2_x,25)-INDEX(US_2_x,43))^2+(INDEX(US_2_y,25)-INDEX(US_2_y,43))^2)</f>
        <v>39.34419652248601</v>
      </c>
      <c r="AU40" s="9">
        <f>SQRT((INDEX(US_2_x,25)-INDEX(US_2_x,44))^2+(INDEX(US_2_y,25)-INDEX(US_2_y,44))^2)</f>
        <v>33.3071959192004</v>
      </c>
      <c r="AV40" s="9">
        <f>SQRT((INDEX(US_2_x,25)-INDEX(US_2_x,45))^2+(INDEX(US_2_y,25)-INDEX(US_2_y,45))^2)</f>
        <v>43.11557143306812</v>
      </c>
      <c r="AW40" s="9">
        <f>SQRT((INDEX(US_2_x,25)-INDEX(US_2_x,46))^2+(INDEX(US_2_y,25)-INDEX(US_2_y,46))^2)</f>
        <v>25.884823739017417</v>
      </c>
      <c r="AX40" s="9">
        <f>SQRT((INDEX(US_2_x,25)-INDEX(US_2_x,47))^2+(INDEX(US_2_y,25)-INDEX(US_2_y,47))^2)</f>
        <v>12.833471860724206</v>
      </c>
      <c r="AY40" s="9">
        <f>SQRT((INDEX(US_2_x,25)-INDEX(US_2_x,48))^2+(INDEX(US_2_y,25)-INDEX(US_2_y,48))^2)</f>
        <v>13.390504098053963</v>
      </c>
      <c r="AZ40" s="9" t="s">
        <v>30</v>
      </c>
      <c r="BA40" s="34">
        <v>43.07</v>
      </c>
      <c r="BB40" s="34">
        <v>23.22</v>
      </c>
    </row>
    <row r="41" spans="3:54" ht="15" thickBot="1" thickTop="1">
      <c r="C41" s="4">
        <v>26</v>
      </c>
      <c r="D41" s="9">
        <f>SQRT((INDEX(US_2_x,26)-INDEX(US_2_x,1))^2+(INDEX(US_2_y,26)-INDEX(US_2_y,1))^2)</f>
        <v>60.754662372529076</v>
      </c>
      <c r="E41" s="9">
        <f>SQRT((INDEX(US_2_x,26)-INDEX(US_2_x,2))^2+(INDEX(US_2_y,26)-INDEX(US_2_y,2))^2)</f>
        <v>18.491565644909574</v>
      </c>
      <c r="F41" s="9">
        <f>SQRT((INDEX(US_2_x,26)-INDEX(US_2_x,3))^2+(INDEX(US_2_y,26)-INDEX(US_2_y,3))^2)</f>
        <v>48.72961009488994</v>
      </c>
      <c r="G41" s="20">
        <f>SQRT((INDEX(US_2_x,26)-INDEX(US_2_x,4))^2+(INDEX(US_2_y,26)-INDEX(US_2_y,4))^2)</f>
        <v>3.19845275094068</v>
      </c>
      <c r="H41" s="9">
        <f>SQRT((INDEX(US_2_x,26)-INDEX(US_2_x,5))^2+(INDEX(US_2_y,26)-INDEX(US_2_y,5))^2)</f>
        <v>24.90119073458135</v>
      </c>
      <c r="I41" s="9">
        <f>SQRT((INDEX(US_2_x,26)-INDEX(US_2_x,6))^2+(INDEX(US_2_y,26)-INDEX(US_2_y,6))^2)</f>
        <v>77.44855905696375</v>
      </c>
      <c r="J41" s="9">
        <f>SQRT((INDEX(US_2_x,26)-INDEX(US_2_x,7))^2+(INDEX(US_2_y,26)-INDEX(US_2_y,7))^2)</f>
        <v>74.11241731316015</v>
      </c>
      <c r="K41" s="9">
        <f>SQRT((INDEX(US_2_x,26)-INDEX(US_2_x,8))^2+(INDEX(US_2_y,26)-INDEX(US_2_y,8))^2)</f>
        <v>65.95206137794331</v>
      </c>
      <c r="L41" s="9">
        <f>SQRT((INDEX(US_2_x,26)-INDEX(US_2_x,9))^2+(INDEX(US_2_y,26)-INDEX(US_2_y,9))^2)</f>
        <v>62.84772867813125</v>
      </c>
      <c r="M41" s="9">
        <f>SQRT((INDEX(US_2_x,26)-INDEX(US_2_x,10))^2+(INDEX(US_2_y,26)-INDEX(US_2_y,10))^2)</f>
        <v>11.30848354112964</v>
      </c>
      <c r="N41" s="9">
        <f>SQRT((INDEX(US_2_x,26)-INDEX(US_2_x,11))^2+(INDEX(US_2_y,26)-INDEX(US_2_y,11))^2)</f>
        <v>50.53003958043176</v>
      </c>
      <c r="O41" s="9">
        <f>SQRT((INDEX(US_2_x,26)-INDEX(US_2_x,12))^2+(INDEX(US_2_y,26)-INDEX(US_2_y,12))^2)</f>
        <v>56.324315353140335</v>
      </c>
      <c r="P41" s="9">
        <f>SQRT((INDEX(US_2_x,26)-INDEX(US_2_x,13))^2+(INDEX(US_2_y,26)-INDEX(US_2_y,13))^2)</f>
        <v>43.6247464176011</v>
      </c>
      <c r="Q41" s="9">
        <f>SQRT((INDEX(US_2_x,26)-INDEX(US_2_x,14))^2+(INDEX(US_2_y,26)-INDEX(US_2_y,14))^2)</f>
        <v>40.692517739751615</v>
      </c>
      <c r="R41" s="9">
        <f>SQRT((INDEX(US_2_x,26)-INDEX(US_2_x,15))^2+(INDEX(US_2_y,26)-INDEX(US_2_y,15))^2)</f>
        <v>59.147200271864094</v>
      </c>
      <c r="S41" s="9">
        <f>SQRT((INDEX(US_2_x,26)-INDEX(US_2_x,16))^2+(INDEX(US_2_y,26)-INDEX(US_2_y,16))^2)</f>
        <v>54.42443660709774</v>
      </c>
      <c r="T41" s="9">
        <f>SQRT((INDEX(US_2_x,26)-INDEX(US_2_x,17))^2+(INDEX(US_2_y,26)-INDEX(US_2_y,17))^2)</f>
        <v>80.9714641092774</v>
      </c>
      <c r="U41" s="9">
        <f>SQRT((INDEX(US_2_x,26)-INDEX(US_2_x,18))^2+(INDEX(US_2_y,26)-INDEX(US_2_y,18))^2)</f>
        <v>72.62260323067467</v>
      </c>
      <c r="V41" s="9">
        <f>SQRT((INDEX(US_2_x,26)-INDEX(US_2_x,19))^2+(INDEX(US_2_y,26)-INDEX(US_2_y,19))^2)</f>
        <v>79.76047768161872</v>
      </c>
      <c r="W41" s="9">
        <f>SQRT((INDEX(US_2_x,26)-INDEX(US_2_x,20))^2+(INDEX(US_2_y,26)-INDEX(US_2_y,20))^2)</f>
        <v>58.162401944899074</v>
      </c>
      <c r="X41" s="9">
        <f>SQRT((INDEX(US_2_x,26)-INDEX(US_2_x,21))^2+(INDEX(US_2_y,26)-INDEX(US_2_y,21))^2)</f>
        <v>44.81588222940612</v>
      </c>
      <c r="Y41" s="9">
        <f>SQRT((INDEX(US_2_x,26)-INDEX(US_2_x,22))^2+(INDEX(US_2_y,26)-INDEX(US_2_y,22))^2)</f>
        <v>54.26996591117411</v>
      </c>
      <c r="Z41" s="9">
        <f>SQRT((INDEX(US_2_x,26)-INDEX(US_2_x,23))^2+(INDEX(US_2_y,26)-INDEX(US_2_y,23))^2)</f>
        <v>46.74350436156879</v>
      </c>
      <c r="AA41" s="9">
        <f>SQRT((INDEX(US_2_x,26)-INDEX(US_2_x,24))^2+(INDEX(US_2_y,26)-INDEX(US_2_y,24))^2)</f>
        <v>20.417083533159186</v>
      </c>
      <c r="AB41" s="9">
        <f>SQRT((INDEX(US_2_x,26)-INDEX(US_2_x,25))^2+(INDEX(US_2_y,26)-INDEX(US_2_y,25))^2)</f>
        <v>38.630661397392615</v>
      </c>
      <c r="AC41" s="9" t="s">
        <v>30</v>
      </c>
      <c r="AD41" s="9">
        <f>SQRT((INDEX(US_2_x,26)-INDEX(US_2_x,27))^2+(INDEX(US_2_y,26)-INDEX(US_2_y,27))^2)</f>
        <v>78.65962687427394</v>
      </c>
      <c r="AE41" s="9">
        <f>SQRT((INDEX(US_2_x,26)-INDEX(US_2_x,28))^2+(INDEX(US_2_y,26)-INDEX(US_2_y,28))^2)</f>
        <v>74.82819054340416</v>
      </c>
      <c r="AF41" s="9">
        <f>SQRT((INDEX(US_2_x,26)-INDEX(US_2_x,29))^2+(INDEX(US_2_y,26)-INDEX(US_2_y,29))^2)</f>
        <v>25.144589875358875</v>
      </c>
      <c r="AG41" s="9">
        <f>SQRT((INDEX(US_2_x,26)-INDEX(US_2_x,30))^2+(INDEX(US_2_y,26)-INDEX(US_2_y,30))^2)</f>
        <v>75.38721973915737</v>
      </c>
      <c r="AH41" s="9">
        <f>SQRT((INDEX(US_2_x,26)-INDEX(US_2_x,31))^2+(INDEX(US_2_y,26)-INDEX(US_2_y,31))^2)</f>
        <v>71.0062849330959</v>
      </c>
      <c r="AI41" s="9">
        <f>SQRT((INDEX(US_2_x,26)-INDEX(US_2_x,32))^2+(INDEX(US_2_y,26)-INDEX(US_2_y,32))^2)</f>
        <v>34.48231575750097</v>
      </c>
      <c r="AJ41" s="9">
        <f>SQRT((INDEX(US_2_x,26)-INDEX(US_2_x,33))^2+(INDEX(US_2_y,26)-INDEX(US_2_y,33))^2)</f>
        <v>61.457212758145815</v>
      </c>
      <c r="AK41" s="9">
        <f>SQRT((INDEX(US_2_x,26)-INDEX(US_2_x,34))^2+(INDEX(US_2_y,26)-INDEX(US_2_y,34))^2)</f>
        <v>39.376837100000806</v>
      </c>
      <c r="AL41" s="9">
        <f>SQRT((INDEX(US_2_x,26)-INDEX(US_2_x,35))^2+(INDEX(US_2_y,26)-INDEX(US_2_y,35))^2)</f>
        <v>13.74483175597286</v>
      </c>
      <c r="AM41" s="9">
        <f>SQRT((INDEX(US_2_x,26)-INDEX(US_2_x,36))^2+(INDEX(US_2_y,26)-INDEX(US_2_y,36))^2)</f>
        <v>71.33993131479733</v>
      </c>
      <c r="AN41" s="9">
        <f>SQRT((INDEX(US_2_x,26)-INDEX(US_2_x,37))^2+(INDEX(US_2_y,26)-INDEX(US_2_y,37))^2)</f>
        <v>79.43959340278624</v>
      </c>
      <c r="AO41" s="9">
        <f>SQRT((INDEX(US_2_x,26)-INDEX(US_2_x,38))^2+(INDEX(US_2_y,26)-INDEX(US_2_y,38))^2)</f>
        <v>68.30134186090343</v>
      </c>
      <c r="AP41" s="9">
        <f>SQRT((INDEX(US_2_x,26)-INDEX(US_2_x,39))^2+(INDEX(US_2_y,26)-INDEX(US_2_y,39))^2)</f>
        <v>33.4870273389562</v>
      </c>
      <c r="AQ41" s="9">
        <f>SQRT((INDEX(US_2_x,26)-INDEX(US_2_x,40))^2+(INDEX(US_2_y,26)-INDEX(US_2_y,40))^2)</f>
        <v>57.08752665863183</v>
      </c>
      <c r="AR41" s="9">
        <f>SQRT((INDEX(US_2_x,26)-INDEX(US_2_x,41))^2+(INDEX(US_2_y,26)-INDEX(US_2_y,41))^2)</f>
        <v>43.961410350442584</v>
      </c>
      <c r="AS41" s="9">
        <f>SQRT((INDEX(US_2_x,26)-INDEX(US_2_x,42))^2+(INDEX(US_2_y,26)-INDEX(US_2_y,42))^2)</f>
        <v>13.62736218055424</v>
      </c>
      <c r="AT41" s="9">
        <f>SQRT((INDEX(US_2_x,26)-INDEX(US_2_x,43))^2+(INDEX(US_2_y,26)-INDEX(US_2_y,43))^2)</f>
        <v>76.66907720848086</v>
      </c>
      <c r="AU41" s="9">
        <f>SQRT((INDEX(US_2_x,26)-INDEX(US_2_x,44))^2+(INDEX(US_2_y,26)-INDEX(US_2_y,44))^2)</f>
        <v>71.89565007703874</v>
      </c>
      <c r="AV41" s="9">
        <f>SQRT((INDEX(US_2_x,26)-INDEX(US_2_x,45))^2+(INDEX(US_2_y,26)-INDEX(US_2_y,45))^2)</f>
        <v>17.97533031685371</v>
      </c>
      <c r="AW41" s="9">
        <f>SQRT((INDEX(US_2_x,26)-INDEX(US_2_x,46))^2+(INDEX(US_2_y,26)-INDEX(US_2_y,46))^2)</f>
        <v>64.45897377402156</v>
      </c>
      <c r="AX41" s="9">
        <f>SQRT((INDEX(US_2_x,26)-INDEX(US_2_x,47))^2+(INDEX(US_2_y,26)-INDEX(US_2_y,47))^2)</f>
        <v>50.409923626206776</v>
      </c>
      <c r="AY41" s="9">
        <f>SQRT((INDEX(US_2_x,26)-INDEX(US_2_x,48))^2+(INDEX(US_2_y,26)-INDEX(US_2_y,48))^2)</f>
        <v>25.276866894455097</v>
      </c>
      <c r="AZ41" s="9" t="s">
        <v>30</v>
      </c>
      <c r="BA41" s="34">
        <v>6.75</v>
      </c>
      <c r="BB41" s="34">
        <v>10.06</v>
      </c>
    </row>
    <row r="42" spans="3:54" ht="15" thickBot="1" thickTop="1">
      <c r="C42" s="4">
        <v>27</v>
      </c>
      <c r="D42" s="9">
        <f>SQRT((INDEX(US_2_x,27)-INDEX(US_2_x,1))^2+(INDEX(US_2_y,27)-INDEX(US_2_y,1))^2)</f>
        <v>34.646784843618605</v>
      </c>
      <c r="E42" s="9">
        <f>SQRT((INDEX(US_2_x,27)-INDEX(US_2_x,2))^2+(INDEX(US_2_y,27)-INDEX(US_2_y,2))^2)</f>
        <v>71.72877037841928</v>
      </c>
      <c r="F42" s="9">
        <f>SQRT((INDEX(US_2_x,27)-INDEX(US_2_x,3))^2+(INDEX(US_2_y,27)-INDEX(US_2_y,3))^2)</f>
        <v>39.530557800263836</v>
      </c>
      <c r="G42" s="9">
        <f>SQRT((INDEX(US_2_x,27)-INDEX(US_2_x,4))^2+(INDEX(US_2_y,27)-INDEX(US_2_y,4))^2)</f>
        <v>81.85609323685073</v>
      </c>
      <c r="H42" s="9">
        <f>SQRT((INDEX(US_2_x,27)-INDEX(US_2_x,5))^2+(INDEX(US_2_y,27)-INDEX(US_2_y,5))^2)</f>
        <v>54.8528522503616</v>
      </c>
      <c r="I42" s="9">
        <f>SQRT((INDEX(US_2_x,27)-INDEX(US_2_x,6))^2+(INDEX(US_2_y,27)-INDEX(US_2_y,6))^2)</f>
        <v>3.648698398059231</v>
      </c>
      <c r="J42" s="9">
        <f>SQRT((INDEX(US_2_x,27)-INDEX(US_2_x,7))^2+(INDEX(US_2_y,27)-INDEX(US_2_y,7))^2)</f>
        <v>11.031468623895915</v>
      </c>
      <c r="K42" s="9">
        <f>SQRT((INDEX(US_2_x,27)-INDEX(US_2_x,8))^2+(INDEX(US_2_y,27)-INDEX(US_2_y,8))^2)</f>
        <v>35.628220556182704</v>
      </c>
      <c r="L42" s="9">
        <f>SQRT((INDEX(US_2_x,27)-INDEX(US_2_x,9))^2+(INDEX(US_2_y,27)-INDEX(US_2_y,9))^2)</f>
        <v>30.066601071620976</v>
      </c>
      <c r="M42" s="9">
        <f>SQRT((INDEX(US_2_x,27)-INDEX(US_2_x,10))^2+(INDEX(US_2_y,27)-INDEX(US_2_y,10))^2)</f>
        <v>70.13212459351277</v>
      </c>
      <c r="N42" s="9">
        <f>SQRT((INDEX(US_2_x,27)-INDEX(US_2_x,11))^2+(INDEX(US_2_y,27)-INDEX(US_2_y,11))^2)</f>
        <v>30.41864231026756</v>
      </c>
      <c r="O42" s="9">
        <f>SQRT((INDEX(US_2_x,27)-INDEX(US_2_x,12))^2+(INDEX(US_2_y,27)-INDEX(US_2_y,12))^2)</f>
        <v>24.9785347848908</v>
      </c>
      <c r="P42" s="9">
        <f>SQRT((INDEX(US_2_x,27)-INDEX(US_2_x,13))^2+(INDEX(US_2_y,27)-INDEX(US_2_y,13))^2)</f>
        <v>35.66206107335917</v>
      </c>
      <c r="Q42" s="9">
        <f>SQRT((INDEX(US_2_x,27)-INDEX(US_2_x,14))^2+(INDEX(US_2_y,27)-INDEX(US_2_y,14))^2)</f>
        <v>40.51160944716958</v>
      </c>
      <c r="R42" s="9">
        <f>SQRT((INDEX(US_2_x,27)-INDEX(US_2_x,15))^2+(INDEX(US_2_y,27)-INDEX(US_2_y,15))^2)</f>
        <v>24.539274642906623</v>
      </c>
      <c r="S42" s="9">
        <f>SQRT((INDEX(US_2_x,27)-INDEX(US_2_x,16))^2+(INDEX(US_2_y,27)-INDEX(US_2_y,16))^2)</f>
        <v>43.95361646099215</v>
      </c>
      <c r="T42" s="9">
        <f>SQRT((INDEX(US_2_x,27)-INDEX(US_2_x,17))^2+(INDEX(US_2_y,27)-INDEX(US_2_y,17))^2)</f>
        <v>3.692709032675069</v>
      </c>
      <c r="U42" s="9">
        <f>SQRT((INDEX(US_2_x,27)-INDEX(US_2_x,18))^2+(INDEX(US_2_y,27)-INDEX(US_2_y,18))^2)</f>
        <v>12.325136916075211</v>
      </c>
      <c r="V42" s="20">
        <f>SQRT((INDEX(US_2_x,27)-INDEX(US_2_x,19))^2+(INDEX(US_2_y,27)-INDEX(US_2_y,19))^2)</f>
        <v>2.013578903345977</v>
      </c>
      <c r="W42" s="9">
        <f>SQRT((INDEX(US_2_x,27)-INDEX(US_2_x,20))^2+(INDEX(US_2_y,27)-INDEX(US_2_y,20))^2)</f>
        <v>20.788431879292865</v>
      </c>
      <c r="X42" s="9">
        <f>SQRT((INDEX(US_2_x,27)-INDEX(US_2_x,21))^2+(INDEX(US_2_y,27)-INDEX(US_2_y,21))^2)</f>
        <v>33.970110391342565</v>
      </c>
      <c r="Y42" s="9">
        <f>SQRT((INDEX(US_2_x,27)-INDEX(US_2_x,22))^2+(INDEX(US_2_y,27)-INDEX(US_2_y,22))^2)</f>
        <v>39.838168883622146</v>
      </c>
      <c r="Z42" s="9">
        <f>SQRT((INDEX(US_2_x,27)-INDEX(US_2_x,23))^2+(INDEX(US_2_y,27)-INDEX(US_2_y,23))^2)</f>
        <v>35.361709517499285</v>
      </c>
      <c r="AA42" s="9">
        <f>SQRT((INDEX(US_2_x,27)-INDEX(US_2_x,24))^2+(INDEX(US_2_y,27)-INDEX(US_2_y,24))^2)</f>
        <v>62.538135565429194</v>
      </c>
      <c r="AB42" s="9">
        <f>SQRT((INDEX(US_2_x,27)-INDEX(US_2_x,25))^2+(INDEX(US_2_y,27)-INDEX(US_2_y,25))^2)</f>
        <v>40.96890650237079</v>
      </c>
      <c r="AC42" s="9">
        <f>SQRT((INDEX(US_2_x,27)-INDEX(US_2_x,26))^2+(INDEX(US_2_y,27)-INDEX(US_2_y,26))^2)</f>
        <v>78.65962687427394</v>
      </c>
      <c r="AD42" s="9" t="s">
        <v>30</v>
      </c>
      <c r="AE42" s="9">
        <f>SQRT((INDEX(US_2_x,27)-INDEX(US_2_x,28))^2+(INDEX(US_2_y,27)-INDEX(US_2_y,28))^2)</f>
        <v>8.381169369485377</v>
      </c>
      <c r="AF42" s="9">
        <f>SQRT((INDEX(US_2_x,27)-INDEX(US_2_x,29))^2+(INDEX(US_2_y,27)-INDEX(US_2_y,29))^2)</f>
        <v>59.72842957922131</v>
      </c>
      <c r="AG42" s="9">
        <f>SQRT((INDEX(US_2_x,27)-INDEX(US_2_x,30))^2+(INDEX(US_2_y,27)-INDEX(US_2_y,30))^2)</f>
        <v>3.7306567786383105</v>
      </c>
      <c r="AH42" s="9">
        <f>SQRT((INDEX(US_2_x,27)-INDEX(US_2_x,31))^2+(INDEX(US_2_y,27)-INDEX(US_2_y,31))^2)</f>
        <v>20.18024776854833</v>
      </c>
      <c r="AI42" s="9">
        <f>SQRT((INDEX(US_2_x,27)-INDEX(US_2_x,32))^2+(INDEX(US_2_y,27)-INDEX(US_2_y,32))^2)</f>
        <v>45.68183008593241</v>
      </c>
      <c r="AJ42" s="9">
        <f>SQRT((INDEX(US_2_x,27)-INDEX(US_2_x,33))^2+(INDEX(US_2_y,27)-INDEX(US_2_y,33))^2)</f>
        <v>19.959852203861622</v>
      </c>
      <c r="AK42" s="9">
        <f>SQRT((INDEX(US_2_x,27)-INDEX(US_2_x,34))^2+(INDEX(US_2_y,27)-INDEX(US_2_y,34))^2)</f>
        <v>46.68666833261932</v>
      </c>
      <c r="AL42" s="9">
        <f>SQRT((INDEX(US_2_x,27)-INDEX(US_2_x,35))^2+(INDEX(US_2_y,27)-INDEX(US_2_y,35))^2)</f>
        <v>79.69104905822233</v>
      </c>
      <c r="AM42" s="9">
        <f>SQRT((INDEX(US_2_x,27)-INDEX(US_2_x,36))^2+(INDEX(US_2_y,27)-INDEX(US_2_y,36))^2)</f>
        <v>10.84365713216717</v>
      </c>
      <c r="AN42" s="9">
        <f>SQRT((INDEX(US_2_x,27)-INDEX(US_2_x,37))^2+(INDEX(US_2_y,27)-INDEX(US_2_y,37))^2)</f>
        <v>3.050000000000001</v>
      </c>
      <c r="AO42" s="9">
        <f>SQRT((INDEX(US_2_x,27)-INDEX(US_2_x,38))^2+(INDEX(US_2_y,27)-INDEX(US_2_y,38))^2)</f>
        <v>25.801538713805417</v>
      </c>
      <c r="AP42" s="9">
        <f>SQRT((INDEX(US_2_x,27)-INDEX(US_2_x,39))^2+(INDEX(US_2_y,27)-INDEX(US_2_y,39))^2)</f>
        <v>45.31350902324824</v>
      </c>
      <c r="AQ42" s="9">
        <f>SQRT((INDEX(US_2_x,27)-INDEX(US_2_x,40))^2+(INDEX(US_2_y,27)-INDEX(US_2_y,40))^2)</f>
        <v>29.75317125954811</v>
      </c>
      <c r="AR42" s="9">
        <f>SQRT((INDEX(US_2_x,27)-INDEX(US_2_x,41))^2+(INDEX(US_2_y,27)-INDEX(US_2_y,41))^2)</f>
        <v>53.38346279513909</v>
      </c>
      <c r="AS42" s="9">
        <f>SQRT((INDEX(US_2_x,27)-INDEX(US_2_x,42))^2+(INDEX(US_2_y,27)-INDEX(US_2_y,42))^2)</f>
        <v>65.0851910959782</v>
      </c>
      <c r="AT42" s="9">
        <f>SQRT((INDEX(US_2_x,27)-INDEX(US_2_x,43))^2+(INDEX(US_2_y,27)-INDEX(US_2_y,43))^2)</f>
        <v>2.8640006983239386</v>
      </c>
      <c r="AU42" s="9">
        <f>SQRT((INDEX(US_2_x,27)-INDEX(US_2_x,44))^2+(INDEX(US_2_y,27)-INDEX(US_2_y,44))^2)</f>
        <v>15.806694784172937</v>
      </c>
      <c r="AV42" s="9">
        <f>SQRT((INDEX(US_2_x,27)-INDEX(US_2_x,45))^2+(INDEX(US_2_y,27)-INDEX(US_2_y,45))^2)</f>
        <v>78.43435089296015</v>
      </c>
      <c r="AW42" s="9">
        <f>SQRT((INDEX(US_2_x,27)-INDEX(US_2_x,46))^2+(INDEX(US_2_y,27)-INDEX(US_2_y,46))^2)</f>
        <v>19.732663276912216</v>
      </c>
      <c r="AX42" s="9">
        <f>SQRT((INDEX(US_2_x,27)-INDEX(US_2_x,47))^2+(INDEX(US_2_y,27)-INDEX(US_2_y,47))^2)</f>
        <v>28.378902374827675</v>
      </c>
      <c r="AY42" s="9">
        <f>SQRT((INDEX(US_2_x,27)-INDEX(US_2_x,48))^2+(INDEX(US_2_y,27)-INDEX(US_2_y,48))^2)</f>
        <v>53.68067901955041</v>
      </c>
      <c r="AZ42" s="9" t="s">
        <v>30</v>
      </c>
      <c r="BA42" s="34">
        <v>75.55</v>
      </c>
      <c r="BB42" s="34">
        <v>48.19</v>
      </c>
    </row>
    <row r="43" spans="3:54" ht="15" thickBot="1" thickTop="1">
      <c r="C43" s="4">
        <v>28</v>
      </c>
      <c r="D43" s="9">
        <f>SQRT((INDEX(US_2_x,28)-INDEX(US_2_x,1))^2+(INDEX(US_2_y,28)-INDEX(US_2_y,1))^2)</f>
        <v>26.536829124821978</v>
      </c>
      <c r="E43" s="9">
        <f>SQRT((INDEX(US_2_x,28)-INDEX(US_2_x,2))^2+(INDEX(US_2_y,28)-INDEX(US_2_y,2))^2)</f>
        <v>66.29004827272341</v>
      </c>
      <c r="F43" s="9">
        <f>SQRT((INDEX(US_2_x,28)-INDEX(US_2_x,3))^2+(INDEX(US_2_y,28)-INDEX(US_2_y,3))^2)</f>
        <v>32.53055486769323</v>
      </c>
      <c r="G43" s="9">
        <f>SQRT((INDEX(US_2_x,28)-INDEX(US_2_x,4))^2+(INDEX(US_2_y,28)-INDEX(US_2_y,4))^2)</f>
        <v>77.99948717780136</v>
      </c>
      <c r="H43" s="9">
        <f>SQRT((INDEX(US_2_x,28)-INDEX(US_2_x,5))^2+(INDEX(US_2_y,28)-INDEX(US_2_y,5))^2)</f>
        <v>50.34307300910424</v>
      </c>
      <c r="I43" s="9">
        <f>SQRT((INDEX(US_2_x,28)-INDEX(US_2_x,6))^2+(INDEX(US_2_y,28)-INDEX(US_2_y,6))^2)</f>
        <v>4.816824680222435</v>
      </c>
      <c r="J43" s="20">
        <f>SQRT((INDEX(US_2_x,28)-INDEX(US_2_x,7))^2+(INDEX(US_2_y,28)-INDEX(US_2_y,7))^2)</f>
        <v>2.669250831225877</v>
      </c>
      <c r="K43" s="9">
        <f>SQRT((INDEX(US_2_x,28)-INDEX(US_2_x,8))^2+(INDEX(US_2_y,28)-INDEX(US_2_y,8))^2)</f>
        <v>27.27002933625118</v>
      </c>
      <c r="L43" s="9">
        <f>SQRT((INDEX(US_2_x,28)-INDEX(US_2_x,9))^2+(INDEX(US_2_y,28)-INDEX(US_2_y,9))^2)</f>
        <v>21.92410773554992</v>
      </c>
      <c r="M43" s="9">
        <f>SQRT((INDEX(US_2_x,28)-INDEX(US_2_x,10))^2+(INDEX(US_2_y,28)-INDEX(US_2_y,10))^2)</f>
        <v>67.13022046738712</v>
      </c>
      <c r="N43" s="9">
        <f>SQRT((INDEX(US_2_x,28)-INDEX(US_2_x,11))^2+(INDEX(US_2_y,28)-INDEX(US_2_y,11))^2)</f>
        <v>24.87559848526262</v>
      </c>
      <c r="O43" s="9">
        <f>SQRT((INDEX(US_2_x,28)-INDEX(US_2_x,12))^2+(INDEX(US_2_y,28)-INDEX(US_2_y,12))^2)</f>
        <v>19.069263226459483</v>
      </c>
      <c r="P43" s="9">
        <f>SQRT((INDEX(US_2_x,28)-INDEX(US_2_x,13))^2+(INDEX(US_2_y,28)-INDEX(US_2_y,13))^2)</f>
        <v>31.217741750485406</v>
      </c>
      <c r="Q43" s="9">
        <f>SQRT((INDEX(US_2_x,28)-INDEX(US_2_x,14))^2+(INDEX(US_2_y,28)-INDEX(US_2_y,14))^2)</f>
        <v>35.165262689193725</v>
      </c>
      <c r="R43" s="9">
        <f>SQRT((INDEX(US_2_x,28)-INDEX(US_2_x,15))^2+(INDEX(US_2_y,28)-INDEX(US_2_y,15))^2)</f>
        <v>17.636439549977204</v>
      </c>
      <c r="S43" s="9">
        <f>SQRT((INDEX(US_2_x,28)-INDEX(US_2_x,16))^2+(INDEX(US_2_y,28)-INDEX(US_2_y,16))^2)</f>
        <v>36.0911346455054</v>
      </c>
      <c r="T43" s="9">
        <f>SQRT((INDEX(US_2_x,28)-INDEX(US_2_x,17))^2+(INDEX(US_2_y,28)-INDEX(US_2_y,17))^2)</f>
        <v>12.050348542677098</v>
      </c>
      <c r="U43" s="9">
        <f>SQRT((INDEX(US_2_x,28)-INDEX(US_2_x,18))^2+(INDEX(US_2_y,28)-INDEX(US_2_y,18))^2)</f>
        <v>3.989009902218847</v>
      </c>
      <c r="V43" s="9">
        <f>SQRT((INDEX(US_2_x,28)-INDEX(US_2_x,19))^2+(INDEX(US_2_y,28)-INDEX(US_2_y,19))^2)</f>
        <v>7.661886190749632</v>
      </c>
      <c r="W43" s="9">
        <f>SQRT((INDEX(US_2_x,28)-INDEX(US_2_x,20))^2+(INDEX(US_2_y,28)-INDEX(US_2_y,20))^2)</f>
        <v>16.93895215177137</v>
      </c>
      <c r="X43" s="9">
        <f>SQRT((INDEX(US_2_x,28)-INDEX(US_2_x,21))^2+(INDEX(US_2_y,28)-INDEX(US_2_y,21))^2)</f>
        <v>31.18638805632996</v>
      </c>
      <c r="Y43" s="9">
        <f>SQRT((INDEX(US_2_x,28)-INDEX(US_2_x,22))^2+(INDEX(US_2_y,28)-INDEX(US_2_y,22))^2)</f>
        <v>32.118905647608855</v>
      </c>
      <c r="Z43" s="9">
        <f>SQRT((INDEX(US_2_x,28)-INDEX(US_2_x,23))^2+(INDEX(US_2_y,28)-INDEX(US_2_y,23))^2)</f>
        <v>29.531957266662836</v>
      </c>
      <c r="AA43" s="9">
        <f>SQRT((INDEX(US_2_x,28)-INDEX(US_2_x,24))^2+(INDEX(US_2_y,28)-INDEX(US_2_y,24))^2)</f>
        <v>60.23126098630179</v>
      </c>
      <c r="AB43" s="9">
        <f>SQRT((INDEX(US_2_x,28)-INDEX(US_2_x,25))^2+(INDEX(US_2_y,28)-INDEX(US_2_y,25))^2)</f>
        <v>36.346990246786596</v>
      </c>
      <c r="AC43" s="9">
        <f>SQRT((INDEX(US_2_x,28)-INDEX(US_2_x,26))^2+(INDEX(US_2_y,28)-INDEX(US_2_y,26))^2)</f>
        <v>74.82819054340416</v>
      </c>
      <c r="AD43" s="9">
        <f>SQRT((INDEX(US_2_x,28)-INDEX(US_2_x,27))^2+(INDEX(US_2_y,28)-INDEX(US_2_y,27))^2)</f>
        <v>8.381169369485377</v>
      </c>
      <c r="AE43" s="9" t="s">
        <v>30</v>
      </c>
      <c r="AF43" s="9">
        <f>SQRT((INDEX(US_2_x,28)-INDEX(US_2_x,29))^2+(INDEX(US_2_y,28)-INDEX(US_2_y,29))^2)</f>
        <v>54.2633587239124</v>
      </c>
      <c r="AG43" s="9">
        <f>SQRT((INDEX(US_2_x,28)-INDEX(US_2_x,30))^2+(INDEX(US_2_y,28)-INDEX(US_2_y,30))^2)</f>
        <v>5.579838707346298</v>
      </c>
      <c r="AH43" s="9">
        <f>SQRT((INDEX(US_2_x,28)-INDEX(US_2_x,31))^2+(INDEX(US_2_y,28)-INDEX(US_2_y,31))^2)</f>
        <v>11.800067796415409</v>
      </c>
      <c r="AI43" s="9">
        <f>SQRT((INDEX(US_2_x,28)-INDEX(US_2_x,32))^2+(INDEX(US_2_y,28)-INDEX(US_2_y,32))^2)</f>
        <v>43.48861000308011</v>
      </c>
      <c r="AJ43" s="9">
        <f>SQRT((INDEX(US_2_x,28)-INDEX(US_2_x,33))^2+(INDEX(US_2_y,28)-INDEX(US_2_y,33))^2)</f>
        <v>13.769854755951489</v>
      </c>
      <c r="AK43" s="9">
        <f>SQRT((INDEX(US_2_x,28)-INDEX(US_2_x,34))^2+(INDEX(US_2_y,28)-INDEX(US_2_y,34))^2)</f>
        <v>40.4321382071243</v>
      </c>
      <c r="AL43" s="9">
        <f>SQRT((INDEX(US_2_x,28)-INDEX(US_2_x,35))^2+(INDEX(US_2_y,28)-INDEX(US_2_y,35))^2)</f>
        <v>77.2240564850099</v>
      </c>
      <c r="AM43" s="9">
        <f>SQRT((INDEX(US_2_x,28)-INDEX(US_2_x,36))^2+(INDEX(US_2_y,28)-INDEX(US_2_y,36))^2)</f>
        <v>3.5588340787398294</v>
      </c>
      <c r="AN43" s="9">
        <f>SQRT((INDEX(US_2_x,28)-INDEX(US_2_x,37))^2+(INDEX(US_2_y,28)-INDEX(US_2_y,37))^2)</f>
        <v>6.52561874460959</v>
      </c>
      <c r="AO43" s="9">
        <f>SQRT((INDEX(US_2_x,28)-INDEX(US_2_x,38))^2+(INDEX(US_2_y,28)-INDEX(US_2_y,38))^2)</f>
        <v>17.43378903164771</v>
      </c>
      <c r="AP43" s="9">
        <f>SQRT((INDEX(US_2_x,28)-INDEX(US_2_x,39))^2+(INDEX(US_2_y,28)-INDEX(US_2_y,39))^2)</f>
        <v>42.173869872232494</v>
      </c>
      <c r="AQ43" s="9">
        <f>SQRT((INDEX(US_2_x,28)-INDEX(US_2_x,40))^2+(INDEX(US_2_y,28)-INDEX(US_2_y,40))^2)</f>
        <v>22.40673113151492</v>
      </c>
      <c r="AR43" s="9">
        <f>SQRT((INDEX(US_2_x,28)-INDEX(US_2_x,41))^2+(INDEX(US_2_y,28)-INDEX(US_2_y,41))^2)</f>
        <v>46.13720516026085</v>
      </c>
      <c r="AS43" s="9">
        <f>SQRT((INDEX(US_2_x,28)-INDEX(US_2_x,42))^2+(INDEX(US_2_y,28)-INDEX(US_2_y,42))^2)</f>
        <v>61.203242561158476</v>
      </c>
      <c r="AT43" s="9">
        <f>SQRT((INDEX(US_2_x,28)-INDEX(US_2_x,43))^2+(INDEX(US_2_y,28)-INDEX(US_2_y,43))^2)</f>
        <v>9.543819989920179</v>
      </c>
      <c r="AU43" s="9">
        <f>SQRT((INDEX(US_2_x,28)-INDEX(US_2_x,44))^2+(INDEX(US_2_y,28)-INDEX(US_2_y,44))^2)</f>
        <v>7.426897064050371</v>
      </c>
      <c r="AV43" s="9">
        <f>SQRT((INDEX(US_2_x,28)-INDEX(US_2_x,45))^2+(INDEX(US_2_y,28)-INDEX(US_2_y,45))^2)</f>
        <v>76.43231384695873</v>
      </c>
      <c r="AW43" s="9">
        <f>SQRT((INDEX(US_2_x,28)-INDEX(US_2_x,46))^2+(INDEX(US_2_y,28)-INDEX(US_2_y,46))^2)</f>
        <v>12.308127396155765</v>
      </c>
      <c r="AX43" s="9">
        <f>SQRT((INDEX(US_2_x,28)-INDEX(US_2_x,47))^2+(INDEX(US_2_y,28)-INDEX(US_2_y,47))^2)</f>
        <v>24.644400986836743</v>
      </c>
      <c r="AY43" s="9">
        <f>SQRT((INDEX(US_2_x,28)-INDEX(US_2_x,48))^2+(INDEX(US_2_y,28)-INDEX(US_2_y,48))^2)</f>
        <v>49.56797857488239</v>
      </c>
      <c r="AZ43" s="9" t="s">
        <v>30</v>
      </c>
      <c r="BA43" s="34">
        <v>75.41</v>
      </c>
      <c r="BB43" s="34">
        <v>39.81</v>
      </c>
    </row>
    <row r="44" spans="3:54" ht="15" thickBot="1" thickTop="1">
      <c r="C44" s="4">
        <v>29</v>
      </c>
      <c r="D44" s="9">
        <f>SQRT((INDEX(US_2_x,29)-INDEX(US_2_x,1))^2+(INDEX(US_2_y,29)-INDEX(US_2_y,1))^2)</f>
        <v>36.24645913741093</v>
      </c>
      <c r="E44" s="20">
        <f>SQRT((INDEX(US_2_x,29)-INDEX(US_2_x,2))^2+(INDEX(US_2_y,29)-INDEX(US_2_y,2))^2)</f>
        <v>12.03184108937614</v>
      </c>
      <c r="F44" s="9">
        <f>SQRT((INDEX(US_2_x,29)-INDEX(US_2_x,3))^2+(INDEX(US_2_y,29)-INDEX(US_2_y,3))^2)</f>
        <v>24.45983033465277</v>
      </c>
      <c r="G44" s="9">
        <f>SQRT((INDEX(US_2_x,29)-INDEX(US_2_x,4))^2+(INDEX(US_2_y,29)-INDEX(US_2_y,4))^2)</f>
        <v>27.773010279766215</v>
      </c>
      <c r="H44" s="9">
        <f>SQRT((INDEX(US_2_x,29)-INDEX(US_2_x,5))^2+(INDEX(US_2_y,29)-INDEX(US_2_y,5))^2)</f>
        <v>8.930671867222536</v>
      </c>
      <c r="I44" s="9">
        <f>SQRT((INDEX(US_2_x,29)-INDEX(US_2_x,6))^2+(INDEX(US_2_y,29)-INDEX(US_2_y,6))^2)</f>
        <v>57.73955749743844</v>
      </c>
      <c r="J44" s="9">
        <f>SQRT((INDEX(US_2_x,29)-INDEX(US_2_x,7))^2+(INDEX(US_2_y,29)-INDEX(US_2_y,7))^2)</f>
        <v>52.99661876006809</v>
      </c>
      <c r="K44" s="9">
        <f>SQRT((INDEX(US_2_x,29)-INDEX(US_2_x,8))^2+(INDEX(US_2_y,29)-INDEX(US_2_y,8))^2)</f>
        <v>41.19937863609111</v>
      </c>
      <c r="L44" s="9">
        <f>SQRT((INDEX(US_2_x,29)-INDEX(US_2_x,9))^2+(INDEX(US_2_y,29)-INDEX(US_2_y,9))^2)</f>
        <v>38.88506397063017</v>
      </c>
      <c r="M44" s="9">
        <f>SQRT((INDEX(US_2_x,29)-INDEX(US_2_x,10))^2+(INDEX(US_2_y,29)-INDEX(US_2_y,10))^2)</f>
        <v>24.36405959605254</v>
      </c>
      <c r="N44" s="9">
        <f>SQRT((INDEX(US_2_x,29)-INDEX(US_2_x,11))^2+(INDEX(US_2_y,29)-INDEX(US_2_y,11))^2)</f>
        <v>29.446869103522705</v>
      </c>
      <c r="O44" s="9">
        <f>SQRT((INDEX(US_2_x,29)-INDEX(US_2_x,12))^2+(INDEX(US_2_y,29)-INDEX(US_2_y,12))^2)</f>
        <v>35.198058185076064</v>
      </c>
      <c r="P44" s="9">
        <f>SQRT((INDEX(US_2_x,29)-INDEX(US_2_x,13))^2+(INDEX(US_2_y,29)-INDEX(US_2_y,13))^2)</f>
        <v>24.52868728652229</v>
      </c>
      <c r="Q44" s="9">
        <f>SQRT((INDEX(US_2_x,29)-INDEX(US_2_x,14))^2+(INDEX(US_2_y,29)-INDEX(US_2_y,14))^2)</f>
        <v>19.222554460841046</v>
      </c>
      <c r="R44" s="9">
        <f>SQRT((INDEX(US_2_x,29)-INDEX(US_2_x,15))^2+(INDEX(US_2_y,29)-INDEX(US_2_y,15))^2)</f>
        <v>37.09747835096073</v>
      </c>
      <c r="S44" s="9">
        <f>SQRT((INDEX(US_2_x,29)-INDEX(US_2_x,16))^2+(INDEX(US_2_y,29)-INDEX(US_2_y,16))^2)</f>
        <v>29.312913536528573</v>
      </c>
      <c r="T44" s="9">
        <f>SQRT((INDEX(US_2_x,29)-INDEX(US_2_x,17))^2+(INDEX(US_2_y,29)-INDEX(US_2_y,17))^2)</f>
        <v>62.66381731110866</v>
      </c>
      <c r="U44" s="9">
        <f>SQRT((INDEX(US_2_x,29)-INDEX(US_2_x,18))^2+(INDEX(US_2_y,29)-INDEX(US_2_y,18))^2)</f>
        <v>51.37390485450761</v>
      </c>
      <c r="V44" s="9">
        <f>SQRT((INDEX(US_2_x,29)-INDEX(US_2_x,19))^2+(INDEX(US_2_y,29)-INDEX(US_2_y,19))^2)</f>
        <v>60.402908870351595</v>
      </c>
      <c r="W44" s="9">
        <f>SQRT((INDEX(US_2_x,29)-INDEX(US_2_x,20))^2+(INDEX(US_2_y,29)-INDEX(US_2_y,20))^2)</f>
        <v>39.0931630851227</v>
      </c>
      <c r="X44" s="9">
        <f>SQRT((INDEX(US_2_x,29)-INDEX(US_2_x,21))^2+(INDEX(US_2_y,29)-INDEX(US_2_y,21))^2)</f>
        <v>29.211992400382414</v>
      </c>
      <c r="Y44" s="9">
        <f>SQRT((INDEX(US_2_x,29)-INDEX(US_2_x,22))^2+(INDEX(US_2_y,29)-INDEX(US_2_y,22))^2)</f>
        <v>29.453509128794824</v>
      </c>
      <c r="Z44" s="9">
        <f>SQRT((INDEX(US_2_x,29)-INDEX(US_2_x,23))^2+(INDEX(US_2_y,29)-INDEX(US_2_y,23))^2)</f>
        <v>24.742594851793537</v>
      </c>
      <c r="AA44" s="9">
        <f>SQRT((INDEX(US_2_x,29)-INDEX(US_2_x,24))^2+(INDEX(US_2_y,29)-INDEX(US_2_y,24))^2)</f>
        <v>25.68802250076872</v>
      </c>
      <c r="AB44" s="9">
        <f>SQRT((INDEX(US_2_x,29)-INDEX(US_2_x,25))^2+(INDEX(US_2_y,29)-INDEX(US_2_y,25))^2)</f>
        <v>19.31128167678158</v>
      </c>
      <c r="AC44" s="9">
        <f>SQRT((INDEX(US_2_x,29)-INDEX(US_2_x,26))^2+(INDEX(US_2_y,29)-INDEX(US_2_y,26))^2)</f>
        <v>25.144589875358875</v>
      </c>
      <c r="AD44" s="9">
        <f>SQRT((INDEX(US_2_x,29)-INDEX(US_2_x,27))^2+(INDEX(US_2_y,29)-INDEX(US_2_y,27))^2)</f>
        <v>59.72842957922131</v>
      </c>
      <c r="AE44" s="9">
        <f>SQRT((INDEX(US_2_x,29)-INDEX(US_2_x,28))^2+(INDEX(US_2_y,29)-INDEX(US_2_y,28))^2)</f>
        <v>54.2633587239124</v>
      </c>
      <c r="AF44" s="9" t="s">
        <v>30</v>
      </c>
      <c r="AG44" s="9">
        <f>SQRT((INDEX(US_2_x,29)-INDEX(US_2_x,30))^2+(INDEX(US_2_y,29)-INDEX(US_2_y,30))^2)</f>
        <v>56.118735730591794</v>
      </c>
      <c r="AH44" s="9">
        <f>SQRT((INDEX(US_2_x,29)-INDEX(US_2_x,31))^2+(INDEX(US_2_y,29)-INDEX(US_2_y,31))^2)</f>
        <v>48.230124403737555</v>
      </c>
      <c r="AI44" s="9">
        <f>SQRT((INDEX(US_2_x,29)-INDEX(US_2_x,32))^2+(INDEX(US_2_y,29)-INDEX(US_2_y,32))^2)</f>
        <v>25.499068610441437</v>
      </c>
      <c r="AJ44" s="9">
        <f>SQRT((INDEX(US_2_x,29)-INDEX(US_2_x,33))^2+(INDEX(US_2_y,29)-INDEX(US_2_y,33))^2)</f>
        <v>40.49430824202336</v>
      </c>
      <c r="AK44" s="9">
        <f>SQRT((INDEX(US_2_x,29)-INDEX(US_2_x,34))^2+(INDEX(US_2_y,29)-INDEX(US_2_y,34))^2)</f>
        <v>14.977065800750157</v>
      </c>
      <c r="AL44" s="9">
        <f>SQRT((INDEX(US_2_x,29)-INDEX(US_2_x,35))^2+(INDEX(US_2_y,29)-INDEX(US_2_y,35))^2)</f>
        <v>34.7553103856087</v>
      </c>
      <c r="AM44" s="9">
        <f>SQRT((INDEX(US_2_x,29)-INDEX(US_2_x,36))^2+(INDEX(US_2_y,29)-INDEX(US_2_y,36))^2)</f>
        <v>50.70657748261068</v>
      </c>
      <c r="AN44" s="9">
        <f>SQRT((INDEX(US_2_x,29)-INDEX(US_2_x,37))^2+(INDEX(US_2_y,29)-INDEX(US_2_y,37))^2)</f>
        <v>59.79978762504095</v>
      </c>
      <c r="AO44" s="9">
        <f>SQRT((INDEX(US_2_x,29)-INDEX(US_2_x,38))^2+(INDEX(US_2_y,29)-INDEX(US_2_y,38))^2)</f>
        <v>44.69940603632223</v>
      </c>
      <c r="AP44" s="9">
        <f>SQRT((INDEX(US_2_x,29)-INDEX(US_2_x,39))^2+(INDEX(US_2_y,29)-INDEX(US_2_y,39))^2)</f>
        <v>20.95609219296384</v>
      </c>
      <c r="AQ44" s="9">
        <f>SQRT((INDEX(US_2_x,29)-INDEX(US_2_x,40))^2+(INDEX(US_2_y,29)-INDEX(US_2_y,40))^2)</f>
        <v>33.873997402137235</v>
      </c>
      <c r="AR44" s="9">
        <f>SQRT((INDEX(US_2_x,29)-INDEX(US_2_x,41))^2+(INDEX(US_2_y,29)-INDEX(US_2_y,41))^2)</f>
        <v>19.10057590754792</v>
      </c>
      <c r="AS44" s="9">
        <f>SQRT((INDEX(US_2_x,29)-INDEX(US_2_x,42))^2+(INDEX(US_2_y,29)-INDEX(US_2_y,42))^2)</f>
        <v>15.00363289340285</v>
      </c>
      <c r="AT44" s="9">
        <f>SQRT((INDEX(US_2_x,29)-INDEX(US_2_x,43))^2+(INDEX(US_2_y,29)-INDEX(US_2_y,43))^2)</f>
        <v>58.30871118452199</v>
      </c>
      <c r="AU44" s="9">
        <f>SQRT((INDEX(US_2_x,29)-INDEX(US_2_x,44))^2+(INDEX(US_2_y,29)-INDEX(US_2_y,44))^2)</f>
        <v>49.93146603095087</v>
      </c>
      <c r="AV44" s="9">
        <f>SQRT((INDEX(US_2_x,29)-INDEX(US_2_x,45))^2+(INDEX(US_2_y,29)-INDEX(US_2_y,45))^2)</f>
        <v>37.03550863698243</v>
      </c>
      <c r="AW44" s="9">
        <f>SQRT((INDEX(US_2_x,29)-INDEX(US_2_x,46))^2+(INDEX(US_2_y,29)-INDEX(US_2_y,46))^2)</f>
        <v>42.639264768520576</v>
      </c>
      <c r="AX44" s="9">
        <f>SQRT((INDEX(US_2_x,29)-INDEX(US_2_x,47))^2+(INDEX(US_2_y,29)-INDEX(US_2_y,47))^2)</f>
        <v>32.08125309273315</v>
      </c>
      <c r="AY44" s="9">
        <f>SQRT((INDEX(US_2_x,29)-INDEX(US_2_x,48))^2+(INDEX(US_2_y,29)-INDEX(US_2_y,48))^2)</f>
        <v>11.959565209488181</v>
      </c>
      <c r="AZ44" s="9" t="s">
        <v>30</v>
      </c>
      <c r="BA44" s="34">
        <v>31.77</v>
      </c>
      <c r="BB44" s="34">
        <v>7.56</v>
      </c>
    </row>
    <row r="45" spans="3:54" ht="15" thickBot="1" thickTop="1">
      <c r="C45" s="4">
        <v>30</v>
      </c>
      <c r="D45" s="9">
        <f>SQRT((INDEX(US_2_x,30)-INDEX(US_2_x,1))^2+(INDEX(US_2_y,30)-INDEX(US_2_y,1))^2)</f>
        <v>31.1492102628622</v>
      </c>
      <c r="E45" s="9">
        <f>SQRT((INDEX(US_2_x,30)-INDEX(US_2_x,2))^2+(INDEX(US_2_y,30)-INDEX(US_2_y,2))^2)</f>
        <v>68.13088653466943</v>
      </c>
      <c r="F45" s="9">
        <f>SQRT((INDEX(US_2_x,30)-INDEX(US_2_x,3))^2+(INDEX(US_2_y,30)-INDEX(US_2_y,3))^2)</f>
        <v>35.80280435943531</v>
      </c>
      <c r="G45" s="9">
        <f>SQRT((INDEX(US_2_x,30)-INDEX(US_2_x,4))^2+(INDEX(US_2_y,30)-INDEX(US_2_y,4))^2)</f>
        <v>78.5802939673809</v>
      </c>
      <c r="H45" s="9">
        <f>SQRT((INDEX(US_2_x,30)-INDEX(US_2_x,5))^2+(INDEX(US_2_y,30)-INDEX(US_2_y,5))^2)</f>
        <v>51.404225507247936</v>
      </c>
      <c r="I45" s="9">
        <f>SQRT((INDEX(US_2_x,30)-INDEX(US_2_x,6))^2+(INDEX(US_2_y,30)-INDEX(US_2_y,6))^2)</f>
        <v>2.604611295375956</v>
      </c>
      <c r="J45" s="9">
        <f>SQRT((INDEX(US_2_x,30)-INDEX(US_2_x,7))^2+(INDEX(US_2_y,30)-INDEX(US_2_y,7))^2)</f>
        <v>8.20329811722091</v>
      </c>
      <c r="K45" s="9">
        <f>SQRT((INDEX(US_2_x,30)-INDEX(US_2_x,8))^2+(INDEX(US_2_y,30)-INDEX(US_2_y,8))^2)</f>
        <v>32.3916856616015</v>
      </c>
      <c r="L45" s="9">
        <f>SQRT((INDEX(US_2_x,30)-INDEX(US_2_x,9))^2+(INDEX(US_2_y,30)-INDEX(US_2_y,9))^2)</f>
        <v>26.600295111144913</v>
      </c>
      <c r="M45" s="9">
        <f>SQRT((INDEX(US_2_x,30)-INDEX(US_2_x,10))^2+(INDEX(US_2_y,30)-INDEX(US_2_y,10))^2)</f>
        <v>67.06299202988188</v>
      </c>
      <c r="N45" s="9">
        <f>SQRT((INDEX(US_2_x,30)-INDEX(US_2_x,11))^2+(INDEX(US_2_y,30)-INDEX(US_2_y,11))^2)</f>
        <v>26.757159789484383</v>
      </c>
      <c r="O45" s="9">
        <f>SQRT((INDEX(US_2_x,30)-INDEX(US_2_x,12))^2+(INDEX(US_2_y,30)-INDEX(US_2_y,12))^2)</f>
        <v>21.27077337569088</v>
      </c>
      <c r="P45" s="9">
        <f>SQRT((INDEX(US_2_x,30)-INDEX(US_2_x,13))^2+(INDEX(US_2_y,30)-INDEX(US_2_y,13))^2)</f>
        <v>32.18313222792337</v>
      </c>
      <c r="Q45" s="9">
        <f>SQRT((INDEX(US_2_x,30)-INDEX(US_2_x,14))^2+(INDEX(US_2_y,30)-INDEX(US_2_y,14))^2)</f>
        <v>36.8963968430523</v>
      </c>
      <c r="R45" s="9">
        <f>SQRT((INDEX(US_2_x,30)-INDEX(US_2_x,15))^2+(INDEX(US_2_y,30)-INDEX(US_2_y,15))^2)</f>
        <v>20.816709634329825</v>
      </c>
      <c r="S45" s="9">
        <f>SQRT((INDEX(US_2_x,30)-INDEX(US_2_x,16))^2+(INDEX(US_2_y,30)-INDEX(US_2_y,16))^2)</f>
        <v>40.3393034149079</v>
      </c>
      <c r="T45" s="9">
        <f>SQRT((INDEX(US_2_x,30)-INDEX(US_2_x,17))^2+(INDEX(US_2_y,30)-INDEX(US_2_y,17))^2)</f>
        <v>7.257857810676648</v>
      </c>
      <c r="U45" s="9">
        <f>SQRT((INDEX(US_2_x,30)-INDEX(US_2_x,18))^2+(INDEX(US_2_y,30)-INDEX(US_2_y,18))^2)</f>
        <v>9.225811617413402</v>
      </c>
      <c r="V45" s="9">
        <f>SQRT((INDEX(US_2_x,30)-INDEX(US_2_x,19))^2+(INDEX(US_2_y,30)-INDEX(US_2_y,19))^2)</f>
        <v>4.375945612093454</v>
      </c>
      <c r="W45" s="9">
        <f>SQRT((INDEX(US_2_x,30)-INDEX(US_2_x,20))^2+(INDEX(US_2_y,30)-INDEX(US_2_y,20))^2)</f>
        <v>17.324344143430075</v>
      </c>
      <c r="X45" s="9">
        <f>SQRT((INDEX(US_2_x,30)-INDEX(US_2_x,21))^2+(INDEX(US_2_y,30)-INDEX(US_2_y,21))^2)</f>
        <v>30.860865185538785</v>
      </c>
      <c r="Y45" s="9">
        <f>SQRT((INDEX(US_2_x,30)-INDEX(US_2_x,22))^2+(INDEX(US_2_y,30)-INDEX(US_2_y,22))^2)</f>
        <v>36.190906316366274</v>
      </c>
      <c r="Z45" s="9">
        <f>SQRT((INDEX(US_2_x,30)-INDEX(US_2_x,23))^2+(INDEX(US_2_y,30)-INDEX(US_2_y,23))^2)</f>
        <v>31.680254102516283</v>
      </c>
      <c r="AA45" s="9">
        <f>SQRT((INDEX(US_2_x,30)-INDEX(US_2_x,24))^2+(INDEX(US_2_y,30)-INDEX(US_2_y,24))^2)</f>
        <v>59.65464776528313</v>
      </c>
      <c r="AB45" s="9">
        <f>SQRT((INDEX(US_2_x,30)-INDEX(US_2_x,25))^2+(INDEX(US_2_y,30)-INDEX(US_2_y,25))^2)</f>
        <v>37.47249791513771</v>
      </c>
      <c r="AC45" s="9">
        <f>SQRT((INDEX(US_2_x,30)-INDEX(US_2_x,26))^2+(INDEX(US_2_y,30)-INDEX(US_2_y,26))^2)</f>
        <v>75.38721973915737</v>
      </c>
      <c r="AD45" s="9">
        <f>SQRT((INDEX(US_2_x,30)-INDEX(US_2_x,27))^2+(INDEX(US_2_y,30)-INDEX(US_2_y,27))^2)</f>
        <v>3.7306567786383105</v>
      </c>
      <c r="AE45" s="9">
        <f>SQRT((INDEX(US_2_x,30)-INDEX(US_2_x,28))^2+(INDEX(US_2_y,30)-INDEX(US_2_y,28))^2)</f>
        <v>5.579838707346298</v>
      </c>
      <c r="AF45" s="9">
        <f>SQRT((INDEX(US_2_x,30)-INDEX(US_2_x,29))^2+(INDEX(US_2_y,30)-INDEX(US_2_y,29))^2)</f>
        <v>56.118735730591794</v>
      </c>
      <c r="AG45" s="9" t="s">
        <v>30</v>
      </c>
      <c r="AH45" s="9">
        <f>SQRT((INDEX(US_2_x,30)-INDEX(US_2_x,31))^2+(INDEX(US_2_y,30)-INDEX(US_2_y,31))^2)</f>
        <v>17.158886910286462</v>
      </c>
      <c r="AI45" s="9">
        <f>SQRT((INDEX(US_2_x,30)-INDEX(US_2_x,32))^2+(INDEX(US_2_y,30)-INDEX(US_2_y,32))^2)</f>
        <v>42.79001051647452</v>
      </c>
      <c r="AJ45" s="9">
        <f>SQRT((INDEX(US_2_x,30)-INDEX(US_2_x,33))^2+(INDEX(US_2_y,30)-INDEX(US_2_y,33))^2)</f>
        <v>16.230727032391368</v>
      </c>
      <c r="AK45" s="9">
        <f>SQRT((INDEX(US_2_x,30)-INDEX(US_2_x,34))^2+(INDEX(US_2_y,30)-INDEX(US_2_y,34))^2)</f>
        <v>42.9795300113903</v>
      </c>
      <c r="AL45" s="9">
        <f>SQRT((INDEX(US_2_x,30)-INDEX(US_2_x,35))^2+(INDEX(US_2_y,30)-INDEX(US_2_y,35))^2)</f>
        <v>76.78433499093418</v>
      </c>
      <c r="AM45" s="9">
        <f>SQRT((INDEX(US_2_x,30)-INDEX(US_2_x,36))^2+(INDEX(US_2_y,30)-INDEX(US_2_y,36))^2)</f>
        <v>7.3440111655688565</v>
      </c>
      <c r="AN45" s="9">
        <f>SQRT((INDEX(US_2_x,30)-INDEX(US_2_x,37))^2+(INDEX(US_2_y,30)-INDEX(US_2_y,37))^2)</f>
        <v>4.195485669144881</v>
      </c>
      <c r="AO45" s="9">
        <f>SQRT((INDEX(US_2_x,30)-INDEX(US_2_x,38))^2+(INDEX(US_2_y,30)-INDEX(US_2_y,38))^2)</f>
        <v>22.623536416749705</v>
      </c>
      <c r="AP45" s="9">
        <f>SQRT((INDEX(US_2_x,30)-INDEX(US_2_x,39))^2+(INDEX(US_2_y,30)-INDEX(US_2_y,39))^2)</f>
        <v>42.15892906609464</v>
      </c>
      <c r="AQ45" s="9">
        <f>SQRT((INDEX(US_2_x,30)-INDEX(US_2_x,40))^2+(INDEX(US_2_y,30)-INDEX(US_2_y,40))^2)</f>
        <v>26.05801604113406</v>
      </c>
      <c r="AR45" s="9">
        <f>SQRT((INDEX(US_2_x,30)-INDEX(US_2_x,41))^2+(INDEX(US_2_y,30)-INDEX(US_2_y,41))^2)</f>
        <v>49.66351276339603</v>
      </c>
      <c r="AS45" s="9">
        <f>SQRT((INDEX(US_2_x,30)-INDEX(US_2_x,42))^2+(INDEX(US_2_y,30)-INDEX(US_2_y,42))^2)</f>
        <v>61.7867825671478</v>
      </c>
      <c r="AT45" s="20">
        <f>SQRT((INDEX(US_2_x,30)-INDEX(US_2_x,43))^2+(INDEX(US_2_y,30)-INDEX(US_2_y,43))^2)</f>
        <v>3.9954098663341155</v>
      </c>
      <c r="AU45" s="9">
        <f>SQRT((INDEX(US_2_x,30)-INDEX(US_2_x,44))^2+(INDEX(US_2_y,30)-INDEX(US_2_y,44))^2)</f>
        <v>12.766902521755231</v>
      </c>
      <c r="AV45" s="9">
        <f>SQRT((INDEX(US_2_x,30)-INDEX(US_2_x,45))^2+(INDEX(US_2_y,30)-INDEX(US_2_y,45))^2)</f>
        <v>75.66628311209689</v>
      </c>
      <c r="AW45" s="9">
        <f>SQRT((INDEX(US_2_x,30)-INDEX(US_2_x,46))^2+(INDEX(US_2_y,30)-INDEX(US_2_y,46))^2)</f>
        <v>16.081647925508136</v>
      </c>
      <c r="AX45" s="9">
        <f>SQRT((INDEX(US_2_x,30)-INDEX(US_2_x,47))^2+(INDEX(US_2_y,30)-INDEX(US_2_y,47))^2)</f>
        <v>25.006785079253987</v>
      </c>
      <c r="AY45" s="9">
        <f>SQRT((INDEX(US_2_x,30)-INDEX(US_2_x,48))^2+(INDEX(US_2_y,30)-INDEX(US_2_y,48))^2)</f>
        <v>50.31335508590139</v>
      </c>
      <c r="AZ45" s="9" t="s">
        <v>30</v>
      </c>
      <c r="BA45" s="34">
        <v>73.52</v>
      </c>
      <c r="BB45" s="34">
        <v>45.06</v>
      </c>
    </row>
    <row r="46" spans="3:54" ht="15" thickBot="1" thickTop="1">
      <c r="C46" s="4">
        <v>31</v>
      </c>
      <c r="D46" s="9">
        <f>SQRT((INDEX(US_2_x,31)-INDEX(US_2_x,1))^2+(INDEX(US_2_y,31)-INDEX(US_2_y,1))^2)</f>
        <v>15.731576526209954</v>
      </c>
      <c r="E46" s="9">
        <f>SQRT((INDEX(US_2_x,31)-INDEX(US_2_x,2))^2+(INDEX(US_2_y,31)-INDEX(US_2_y,2))^2)</f>
        <v>60.005853881100634</v>
      </c>
      <c r="F46" s="9">
        <f>SQRT((INDEX(US_2_x,31)-INDEX(US_2_x,3))^2+(INDEX(US_2_y,31)-INDEX(US_2_y,3))^2)</f>
        <v>24.405642790141798</v>
      </c>
      <c r="G46" s="9">
        <f>SQRT((INDEX(US_2_x,31)-INDEX(US_2_x,4))^2+(INDEX(US_2_y,31)-INDEX(US_2_y,4))^2)</f>
        <v>74.07991360686107</v>
      </c>
      <c r="H46" s="9">
        <f>SQRT((INDEX(US_2_x,31)-INDEX(US_2_x,5))^2+(INDEX(US_2_y,31)-INDEX(US_2_y,5))^2)</f>
        <v>46.105333747843105</v>
      </c>
      <c r="I46" s="9">
        <f>SQRT((INDEX(US_2_x,31)-INDEX(US_2_x,6))^2+(INDEX(US_2_y,31)-INDEX(US_2_y,6))^2)</f>
        <v>16.581972138439983</v>
      </c>
      <c r="J46" s="9">
        <f>SQRT((INDEX(US_2_x,31)-INDEX(US_2_x,7))^2+(INDEX(US_2_y,31)-INDEX(US_2_y,7))^2)</f>
        <v>9.154283150525764</v>
      </c>
      <c r="K46" s="9">
        <f>SQRT((INDEX(US_2_x,31)-INDEX(US_2_x,8))^2+(INDEX(US_2_y,31)-INDEX(US_2_y,8))^2)</f>
        <v>15.583609979719078</v>
      </c>
      <c r="L46" s="9">
        <f>SQRT((INDEX(US_2_x,31)-INDEX(US_2_x,9))^2+(INDEX(US_2_y,31)-INDEX(US_2_y,9))^2)</f>
        <v>11.21456642050864</v>
      </c>
      <c r="M46" s="9">
        <f>SQRT((INDEX(US_2_x,31)-INDEX(US_2_x,10))^2+(INDEX(US_2_y,31)-INDEX(US_2_y,10))^2)</f>
        <v>64.76804227394865</v>
      </c>
      <c r="N46" s="9">
        <f>SQRT((INDEX(US_2_x,31)-INDEX(US_2_x,11))^2+(INDEX(US_2_y,31)-INDEX(US_2_y,11))^2)</f>
        <v>20.861337445139995</v>
      </c>
      <c r="O46" s="9">
        <f>SQRT((INDEX(US_2_x,31)-INDEX(US_2_x,12))^2+(INDEX(US_2_y,31)-INDEX(US_2_y,12))^2)</f>
        <v>15.576649190374676</v>
      </c>
      <c r="P46" s="9">
        <f>SQRT((INDEX(US_2_x,31)-INDEX(US_2_x,13))^2+(INDEX(US_2_y,31)-INDEX(US_2_y,13))^2)</f>
        <v>28.41839193198658</v>
      </c>
      <c r="Q46" s="9">
        <f>SQRT((INDEX(US_2_x,31)-INDEX(US_2_x,14))^2+(INDEX(US_2_y,31)-INDEX(US_2_y,14))^2)</f>
        <v>30.313767499273336</v>
      </c>
      <c r="R46" s="9">
        <f>SQRT((INDEX(US_2_x,31)-INDEX(US_2_x,15))^2+(INDEX(US_2_y,31)-INDEX(US_2_y,15))^2)</f>
        <v>12.037973251340947</v>
      </c>
      <c r="S46" s="9">
        <f>SQRT((INDEX(US_2_x,31)-INDEX(US_2_x,16))^2+(INDEX(US_2_y,31)-INDEX(US_2_y,16))^2)</f>
        <v>25.716275002418218</v>
      </c>
      <c r="T46" s="9">
        <f>SQRT((INDEX(US_2_x,31)-INDEX(US_2_x,17))^2+(INDEX(US_2_y,31)-INDEX(US_2_y,17))^2)</f>
        <v>23.839137987771288</v>
      </c>
      <c r="U46" s="9">
        <f>SQRT((INDEX(US_2_x,31)-INDEX(US_2_x,18))^2+(INDEX(US_2_y,31)-INDEX(US_2_y,18))^2)</f>
        <v>7.933536411966605</v>
      </c>
      <c r="V46" s="9">
        <f>SQRT((INDEX(US_2_x,31)-INDEX(US_2_x,19))^2+(INDEX(US_2_y,31)-INDEX(US_2_y,19))^2)</f>
        <v>19.310756070128374</v>
      </c>
      <c r="W46" s="9">
        <f>SQRT((INDEX(US_2_x,31)-INDEX(US_2_x,20))^2+(INDEX(US_2_y,31)-INDEX(US_2_y,20))^2)</f>
        <v>18.120775369724115</v>
      </c>
      <c r="X46" s="9">
        <f>SQRT((INDEX(US_2_x,31)-INDEX(US_2_x,21))^2+(INDEX(US_2_y,31)-INDEX(US_2_y,21))^2)</f>
        <v>31.14236342990044</v>
      </c>
      <c r="Y46" s="9">
        <f>SQRT((INDEX(US_2_x,31)-INDEX(US_2_x,22))^2+(INDEX(US_2_y,31)-INDEX(US_2_y,22))^2)</f>
        <v>22.236494777729703</v>
      </c>
      <c r="Z46" s="9">
        <f>SQRT((INDEX(US_2_x,31)-INDEX(US_2_x,23))^2+(INDEX(US_2_y,31)-INDEX(US_2_y,23))^2)</f>
        <v>24.26288729726947</v>
      </c>
      <c r="AA46" s="9">
        <f>SQRT((INDEX(US_2_x,31)-INDEX(US_2_x,24))^2+(INDEX(US_2_y,31)-INDEX(US_2_y,24))^2)</f>
        <v>59.12005412717414</v>
      </c>
      <c r="AB46" s="9">
        <f>SQRT((INDEX(US_2_x,31)-INDEX(US_2_x,25))^2+(INDEX(US_2_y,31)-INDEX(US_2_y,25))^2)</f>
        <v>32.73237693782717</v>
      </c>
      <c r="AC46" s="9">
        <f>SQRT((INDEX(US_2_x,31)-INDEX(US_2_x,26))^2+(INDEX(US_2_y,31)-INDEX(US_2_y,26))^2)</f>
        <v>71.0062849330959</v>
      </c>
      <c r="AD46" s="9">
        <f>SQRT((INDEX(US_2_x,31)-INDEX(US_2_x,27))^2+(INDEX(US_2_y,31)-INDEX(US_2_y,27))^2)</f>
        <v>20.18024776854833</v>
      </c>
      <c r="AE46" s="9">
        <f>SQRT((INDEX(US_2_x,31)-INDEX(US_2_x,28))^2+(INDEX(US_2_y,31)-INDEX(US_2_y,28))^2)</f>
        <v>11.800067796415409</v>
      </c>
      <c r="AF46" s="9">
        <f>SQRT((INDEX(US_2_x,31)-INDEX(US_2_x,29))^2+(INDEX(US_2_y,31)-INDEX(US_2_y,29))^2)</f>
        <v>48.230124403737555</v>
      </c>
      <c r="AG46" s="9">
        <f>SQRT((INDEX(US_2_x,31)-INDEX(US_2_x,30))^2+(INDEX(US_2_y,31)-INDEX(US_2_y,30))^2)</f>
        <v>17.158886910286462</v>
      </c>
      <c r="AH46" s="9" t="s">
        <v>30</v>
      </c>
      <c r="AI46" s="9">
        <f>SQRT((INDEX(US_2_x,31)-INDEX(US_2_x,32))^2+(INDEX(US_2_y,31)-INDEX(US_2_y,32))^2)</f>
        <v>43.294359909808115</v>
      </c>
      <c r="AJ46" s="9">
        <f>SQRT((INDEX(US_2_x,31)-INDEX(US_2_x,33))^2+(INDEX(US_2_y,31)-INDEX(US_2_y,33))^2)</f>
        <v>11.792137210870637</v>
      </c>
      <c r="AK46" s="9">
        <f>SQRT((INDEX(US_2_x,31)-INDEX(US_2_x,34))^2+(INDEX(US_2_y,31)-INDEX(US_2_y,34))^2)</f>
        <v>33.45979378298677</v>
      </c>
      <c r="AL46" s="9">
        <f>SQRT((INDEX(US_2_x,31)-INDEX(US_2_x,35))^2+(INDEX(US_2_y,31)-INDEX(US_2_y,35))^2)</f>
        <v>75.44713977348644</v>
      </c>
      <c r="AM46" s="9">
        <f>SQRT((INDEX(US_2_x,31)-INDEX(US_2_x,36))^2+(INDEX(US_2_y,31)-INDEX(US_2_y,36))^2)</f>
        <v>10.221022453746981</v>
      </c>
      <c r="AN46" s="9">
        <f>SQRT((INDEX(US_2_x,31)-INDEX(US_2_x,37))^2+(INDEX(US_2_y,31)-INDEX(US_2_y,37))^2)</f>
        <v>18.070763680597455</v>
      </c>
      <c r="AO46" s="20">
        <f>SQRT((INDEX(US_2_x,31)-INDEX(US_2_x,38))^2+(INDEX(US_2_y,31)-INDEX(US_2_y,38))^2)</f>
        <v>5.7763137033925025</v>
      </c>
      <c r="AP46" s="9">
        <f>SQRT((INDEX(US_2_x,31)-INDEX(US_2_x,39))^2+(INDEX(US_2_y,31)-INDEX(US_2_y,39))^2)</f>
        <v>40.61096526801598</v>
      </c>
      <c r="AQ46" s="9">
        <f>SQRT((INDEX(US_2_x,31)-INDEX(US_2_x,40))^2+(INDEX(US_2_y,31)-INDEX(US_2_y,40))^2)</f>
        <v>14.375785195946692</v>
      </c>
      <c r="AR46" s="9">
        <f>SQRT((INDEX(US_2_x,31)-INDEX(US_2_x,41))^2+(INDEX(US_2_y,31)-INDEX(US_2_y,41))^2)</f>
        <v>36.92495226808019</v>
      </c>
      <c r="AS46" s="9">
        <f>SQRT((INDEX(US_2_x,31)-INDEX(US_2_x,42))^2+(INDEX(US_2_y,31)-INDEX(US_2_y,42))^2)</f>
        <v>57.62244788274792</v>
      </c>
      <c r="AT46" s="9">
        <f>SQRT((INDEX(US_2_x,31)-INDEX(US_2_x,43))^2+(INDEX(US_2_y,31)-INDEX(US_2_y,43))^2)</f>
        <v>21.146699506069503</v>
      </c>
      <c r="AU46" s="9">
        <f>SQRT((INDEX(US_2_x,31)-INDEX(US_2_x,44))^2+(INDEX(US_2_y,31)-INDEX(US_2_y,44))^2)</f>
        <v>4.394769618535196</v>
      </c>
      <c r="AV46" s="9">
        <f>SQRT((INDEX(US_2_x,31)-INDEX(US_2_x,45))^2+(INDEX(US_2_y,31)-INDEX(US_2_y,45))^2)</f>
        <v>75.36036756810573</v>
      </c>
      <c r="AW46" s="9">
        <f>SQRT((INDEX(US_2_x,31)-INDEX(US_2_x,46))^2+(INDEX(US_2_y,31)-INDEX(US_2_y,46))^2)</f>
        <v>7.625667183925622</v>
      </c>
      <c r="AX46" s="9">
        <f>SQRT((INDEX(US_2_x,31)-INDEX(US_2_x,47))^2+(INDEX(US_2_y,31)-INDEX(US_2_y,47))^2)</f>
        <v>24.03840468916355</v>
      </c>
      <c r="AY46" s="9">
        <f>SQRT((INDEX(US_2_x,31)-INDEX(US_2_x,48))^2+(INDEX(US_2_y,31)-INDEX(US_2_y,48))^2)</f>
        <v>46.028648687529376</v>
      </c>
      <c r="AZ46" s="9" t="s">
        <v>30</v>
      </c>
      <c r="BA46" s="34">
        <v>75.45</v>
      </c>
      <c r="BB46" s="34">
        <v>28.01</v>
      </c>
    </row>
    <row r="47" spans="3:54" ht="15" thickBot="1" thickTop="1">
      <c r="C47" s="4">
        <v>32</v>
      </c>
      <c r="D47" s="9">
        <f>SQRT((INDEX(US_2_x,32)-INDEX(US_2_x,1))^2+(INDEX(US_2_y,32)-INDEX(US_2_y,1))^2)</f>
        <v>39.50066455137179</v>
      </c>
      <c r="E47" s="9">
        <f>SQRT((INDEX(US_2_x,32)-INDEX(US_2_x,2))^2+(INDEX(US_2_y,32)-INDEX(US_2_y,2))^2)</f>
        <v>34.46907164401153</v>
      </c>
      <c r="F47" s="9">
        <f>SQRT((INDEX(US_2_x,32)-INDEX(US_2_x,3))^2+(INDEX(US_2_y,32)-INDEX(US_2_y,3))^2)</f>
        <v>29.596259898845318</v>
      </c>
      <c r="G47" s="9">
        <f>SQRT((INDEX(US_2_x,32)-INDEX(US_2_x,4))^2+(INDEX(US_2_y,32)-INDEX(US_2_y,4))^2)</f>
        <v>37.62928646679339</v>
      </c>
      <c r="H47" s="9">
        <f>SQRT((INDEX(US_2_x,32)-INDEX(US_2_x,5))^2+(INDEX(US_2_y,32)-INDEX(US_2_y,5))^2)</f>
        <v>16.689787296427713</v>
      </c>
      <c r="I47" s="9">
        <f>SQRT((INDEX(US_2_x,32)-INDEX(US_2_x,6))^2+(INDEX(US_2_y,32)-INDEX(US_2_y,6))^2)</f>
        <v>45.12779409632161</v>
      </c>
      <c r="J47" s="9">
        <f>SQRT((INDEX(US_2_x,32)-INDEX(US_2_x,7))^2+(INDEX(US_2_y,32)-INDEX(US_2_y,7))^2)</f>
        <v>43.47471103986776</v>
      </c>
      <c r="K47" s="9">
        <f>SQRT((INDEX(US_2_x,32)-INDEX(US_2_x,8))^2+(INDEX(US_2_y,32)-INDEX(US_2_y,8))^2)</f>
        <v>45.066361068983596</v>
      </c>
      <c r="L47" s="9">
        <f>SQRT((INDEX(US_2_x,32)-INDEX(US_2_x,9))^2+(INDEX(US_2_y,32)-INDEX(US_2_y,9))^2)</f>
        <v>39.192867973650515</v>
      </c>
      <c r="M47" s="9">
        <f>SQRT((INDEX(US_2_x,32)-INDEX(US_2_x,10))^2+(INDEX(US_2_y,32)-INDEX(US_2_y,10))^2)</f>
        <v>24.75323211219093</v>
      </c>
      <c r="N47" s="9">
        <f>SQRT((INDEX(US_2_x,32)-INDEX(US_2_x,11))^2+(INDEX(US_2_y,32)-INDEX(US_2_y,11))^2)</f>
        <v>23.303068467478692</v>
      </c>
      <c r="O47" s="9">
        <f>SQRT((INDEX(US_2_x,32)-INDEX(US_2_x,12))^2+(INDEX(US_2_y,32)-INDEX(US_2_y,12))^2)</f>
        <v>27.777976888175274</v>
      </c>
      <c r="P47" s="9">
        <f>SQRT((INDEX(US_2_x,32)-INDEX(US_2_x,13))^2+(INDEX(US_2_y,32)-INDEX(US_2_y,13))^2)</f>
        <v>15.914402282209657</v>
      </c>
      <c r="Q47" s="9">
        <f>SQRT((INDEX(US_2_x,32)-INDEX(US_2_x,14))^2+(INDEX(US_2_y,32)-INDEX(US_2_y,14))^2)</f>
        <v>18.659016587162352</v>
      </c>
      <c r="R47" s="9">
        <f>SQRT((INDEX(US_2_x,32)-INDEX(US_2_x,15))^2+(INDEX(US_2_y,32)-INDEX(US_2_y,15))^2)</f>
        <v>31.637458810719924</v>
      </c>
      <c r="S47" s="9">
        <f>SQRT((INDEX(US_2_x,32)-INDEX(US_2_x,16))^2+(INDEX(US_2_y,32)-INDEX(US_2_y,16))^2)</f>
        <v>38.909561806836116</v>
      </c>
      <c r="T47" s="9">
        <f>SQRT((INDEX(US_2_x,32)-INDEX(US_2_x,17))^2+(INDEX(US_2_y,32)-INDEX(US_2_y,17))^2)</f>
        <v>47.531670494523965</v>
      </c>
      <c r="U47" s="9">
        <f>SQRT((INDEX(US_2_x,32)-INDEX(US_2_x,18))^2+(INDEX(US_2_y,32)-INDEX(US_2_y,18))^2)</f>
        <v>42.26619689539148</v>
      </c>
      <c r="V47" s="9">
        <f>SQRT((INDEX(US_2_x,32)-INDEX(US_2_x,19))^2+(INDEX(US_2_y,32)-INDEX(US_2_y,19))^2)</f>
        <v>47.05729805248065</v>
      </c>
      <c r="W47" s="9">
        <f>SQRT((INDEX(US_2_x,32)-INDEX(US_2_x,20))^2+(INDEX(US_2_y,32)-INDEX(US_2_y,20))^2)</f>
        <v>26.67313442398549</v>
      </c>
      <c r="X47" s="9">
        <f>SQRT((INDEX(US_2_x,32)-INDEX(US_2_x,21))^2+(INDEX(US_2_y,32)-INDEX(US_2_y,21))^2)</f>
        <v>12.396531773040389</v>
      </c>
      <c r="Y47" s="9">
        <f>SQRT((INDEX(US_2_x,32)-INDEX(US_2_x,22))^2+(INDEX(US_2_y,32)-INDEX(US_2_y,22))^2)</f>
        <v>36.020495554614456</v>
      </c>
      <c r="Z47" s="9">
        <f>SQRT((INDEX(US_2_x,32)-INDEX(US_2_x,23))^2+(INDEX(US_2_y,32)-INDEX(US_2_y,23))^2)</f>
        <v>22.537180391521915</v>
      </c>
      <c r="AA47" s="9">
        <f>SQRT((INDEX(US_2_x,32)-INDEX(US_2_x,24))^2+(INDEX(US_2_y,32)-INDEX(US_2_y,24))^2)</f>
        <v>16.865823430831952</v>
      </c>
      <c r="AB47" s="9">
        <f>SQRT((INDEX(US_2_x,32)-INDEX(US_2_x,25))^2+(INDEX(US_2_y,32)-INDEX(US_2_y,25))^2)</f>
        <v>14.471119514398323</v>
      </c>
      <c r="AC47" s="9">
        <f>SQRT((INDEX(US_2_x,32)-INDEX(US_2_x,26))^2+(INDEX(US_2_y,32)-INDEX(US_2_y,26))^2)</f>
        <v>34.48231575750097</v>
      </c>
      <c r="AD47" s="9">
        <f>SQRT((INDEX(US_2_x,32)-INDEX(US_2_x,27))^2+(INDEX(US_2_y,32)-INDEX(US_2_y,27))^2)</f>
        <v>45.68183008593241</v>
      </c>
      <c r="AE47" s="9">
        <f>SQRT((INDEX(US_2_x,32)-INDEX(US_2_x,28))^2+(INDEX(US_2_y,32)-INDEX(US_2_y,28))^2)</f>
        <v>43.48861000308011</v>
      </c>
      <c r="AF47" s="9">
        <f>SQRT((INDEX(US_2_x,32)-INDEX(US_2_x,29))^2+(INDEX(US_2_y,32)-INDEX(US_2_y,29))^2)</f>
        <v>25.499068610441437</v>
      </c>
      <c r="AG47" s="9">
        <f>SQRT((INDEX(US_2_x,32)-INDEX(US_2_x,30))^2+(INDEX(US_2_y,32)-INDEX(US_2_y,30))^2)</f>
        <v>42.79001051647452</v>
      </c>
      <c r="AH47" s="9">
        <f>SQRT((INDEX(US_2_x,32)-INDEX(US_2_x,31))^2+(INDEX(US_2_y,32)-INDEX(US_2_y,31))^2)</f>
        <v>43.294359909808115</v>
      </c>
      <c r="AI47" s="9" t="s">
        <v>30</v>
      </c>
      <c r="AJ47" s="9">
        <f>SQRT((INDEX(US_2_x,32)-INDEX(US_2_x,33))^2+(INDEX(US_2_y,32)-INDEX(US_2_y,33))^2)</f>
        <v>31.83737583407276</v>
      </c>
      <c r="AK47" s="9">
        <f>SQRT((INDEX(US_2_x,32)-INDEX(US_2_x,34))^2+(INDEX(US_2_y,32)-INDEX(US_2_y,34))^2)</f>
        <v>25.094258307429605</v>
      </c>
      <c r="AL47" s="9">
        <f>SQRT((INDEX(US_2_x,32)-INDEX(US_2_x,35))^2+(INDEX(US_2_y,32)-INDEX(US_2_y,35))^2)</f>
        <v>34.0105939377718</v>
      </c>
      <c r="AM47" s="9">
        <f>SQRT((INDEX(US_2_x,32)-INDEX(US_2_x,36))^2+(INDEX(US_2_y,32)-INDEX(US_2_y,36))^2)</f>
        <v>40.309657651734035</v>
      </c>
      <c r="AN47" s="9">
        <f>SQRT((INDEX(US_2_x,32)-INDEX(US_2_x,37))^2+(INDEX(US_2_y,32)-INDEX(US_2_y,37))^2)</f>
        <v>46.97593958613282</v>
      </c>
      <c r="AO47" s="9">
        <f>SQRT((INDEX(US_2_x,32)-INDEX(US_2_x,38))^2+(INDEX(US_2_y,32)-INDEX(US_2_y,38))^2)</f>
        <v>42.80575895834578</v>
      </c>
      <c r="AP47" s="20">
        <f>SQRT((INDEX(US_2_x,32)-INDEX(US_2_x,39))^2+(INDEX(US_2_y,32)-INDEX(US_2_y,39))^2)</f>
        <v>5.326321432283259</v>
      </c>
      <c r="AQ47" s="9">
        <f>SQRT((INDEX(US_2_x,32)-INDEX(US_2_x,40))^2+(INDEX(US_2_y,32)-INDEX(US_2_y,40))^2)</f>
        <v>32.44314411397268</v>
      </c>
      <c r="AR47" s="9">
        <f>SQRT((INDEX(US_2_x,32)-INDEX(US_2_x,41))^2+(INDEX(US_2_y,32)-INDEX(US_2_y,41))^2)</f>
        <v>36.117620353506126</v>
      </c>
      <c r="AS47" s="9">
        <f>SQRT((INDEX(US_2_x,32)-INDEX(US_2_x,42))^2+(INDEX(US_2_y,32)-INDEX(US_2_y,42))^2)</f>
        <v>21.863067030954284</v>
      </c>
      <c r="AT47" s="9">
        <f>SQRT((INDEX(US_2_x,32)-INDEX(US_2_x,43))^2+(INDEX(US_2_y,32)-INDEX(US_2_y,43))^2)</f>
        <v>43.3843992697836</v>
      </c>
      <c r="AU47" s="9">
        <f>SQRT((INDEX(US_2_x,32)-INDEX(US_2_x,44))^2+(INDEX(US_2_y,32)-INDEX(US_2_y,44))^2)</f>
        <v>42.64510757402307</v>
      </c>
      <c r="AV47" s="9">
        <f>SQRT((INDEX(US_2_x,32)-INDEX(US_2_x,45))^2+(INDEX(US_2_y,32)-INDEX(US_2_y,45))^2)</f>
        <v>32.955828012659616</v>
      </c>
      <c r="AW47" s="9">
        <f>SQRT((INDEX(US_2_x,32)-INDEX(US_2_x,46))^2+(INDEX(US_2_y,32)-INDEX(US_2_y,46))^2)</f>
        <v>35.75638124866664</v>
      </c>
      <c r="AX47" s="9">
        <f>SQRT((INDEX(US_2_x,32)-INDEX(US_2_x,47))^2+(INDEX(US_2_y,32)-INDEX(US_2_y,47))^2)</f>
        <v>19.405692463810713</v>
      </c>
      <c r="AY47" s="9">
        <f>SQRT((INDEX(US_2_x,32)-INDEX(US_2_x,48))^2+(INDEX(US_2_y,32)-INDEX(US_2_y,48))^2)</f>
        <v>13.809608973464814</v>
      </c>
      <c r="AZ47" s="9" t="s">
        <v>30</v>
      </c>
      <c r="BA47" s="34">
        <v>32.45</v>
      </c>
      <c r="BB47" s="34">
        <v>33.05</v>
      </c>
    </row>
    <row r="48" spans="3:54" ht="15" thickBot="1" thickTop="1">
      <c r="C48" s="4">
        <v>33</v>
      </c>
      <c r="D48" s="9">
        <f>SQRT((INDEX(US_2_x,33)-INDEX(US_2_x,1))^2+(INDEX(US_2_y,33)-INDEX(US_2_y,1))^2)</f>
        <v>17.473591502607587</v>
      </c>
      <c r="E48" s="9">
        <f>SQRT((INDEX(US_2_x,33)-INDEX(US_2_x,2))^2+(INDEX(US_2_y,33)-INDEX(US_2_y,2))^2)</f>
        <v>52.52220292409678</v>
      </c>
      <c r="F48" s="9">
        <f>SQRT((INDEX(US_2_x,33)-INDEX(US_2_x,3))^2+(INDEX(US_2_y,33)-INDEX(US_2_y,3))^2)</f>
        <v>19.651506303589052</v>
      </c>
      <c r="G48" s="9">
        <f>SQRT((INDEX(US_2_x,33)-INDEX(US_2_x,4))^2+(INDEX(US_2_y,33)-INDEX(US_2_y,4))^2)</f>
        <v>64.60561043748446</v>
      </c>
      <c r="H48" s="9">
        <f>SQRT((INDEX(US_2_x,33)-INDEX(US_2_x,5))^2+(INDEX(US_2_y,33)-INDEX(US_2_y,5))^2)</f>
        <v>36.769793309182475</v>
      </c>
      <c r="I48" s="9">
        <f>SQRT((INDEX(US_2_x,33)-INDEX(US_2_x,6))^2+(INDEX(US_2_y,33)-INDEX(US_2_y,6))^2)</f>
        <v>17.459521757482356</v>
      </c>
      <c r="J48" s="9">
        <f>SQRT((INDEX(US_2_x,33)-INDEX(US_2_x,7))^2+(INDEX(US_2_y,33)-INDEX(US_2_y,7))^2)</f>
        <v>12.690382184946202</v>
      </c>
      <c r="K48" s="9">
        <f>SQRT((INDEX(US_2_x,33)-INDEX(US_2_x,8))^2+(INDEX(US_2_y,33)-INDEX(US_2_y,8))^2)</f>
        <v>20.81572962929717</v>
      </c>
      <c r="L48" s="9">
        <f>SQRT((INDEX(US_2_x,33)-INDEX(US_2_x,9))^2+(INDEX(US_2_y,33)-INDEX(US_2_y,9))^2)</f>
        <v>13.717609121126026</v>
      </c>
      <c r="M48" s="9">
        <f>SQRT((INDEX(US_2_x,33)-INDEX(US_2_x,10))^2+(INDEX(US_2_y,33)-INDEX(US_2_y,10))^2)</f>
        <v>54.315717798810326</v>
      </c>
      <c r="N48" s="9">
        <f>SQRT((INDEX(US_2_x,33)-INDEX(US_2_x,11))^2+(INDEX(US_2_y,33)-INDEX(US_2_y,11))^2)</f>
        <v>11.132174091344428</v>
      </c>
      <c r="O48" s="9">
        <f>SQRT((INDEX(US_2_x,33)-INDEX(US_2_x,12))^2+(INDEX(US_2_y,33)-INDEX(US_2_y,12))^2)</f>
        <v>5.300650903426865</v>
      </c>
      <c r="P48" s="9">
        <f>SQRT((INDEX(US_2_x,33)-INDEX(US_2_x,13))^2+(INDEX(US_2_y,33)-INDEX(US_2_y,13))^2)</f>
        <v>17.909218296731996</v>
      </c>
      <c r="Q48" s="9">
        <f>SQRT((INDEX(US_2_x,33)-INDEX(US_2_x,14))^2+(INDEX(US_2_y,33)-INDEX(US_2_y,14))^2)</f>
        <v>21.414107499496687</v>
      </c>
      <c r="R48" s="9">
        <f>SQRT((INDEX(US_2_x,33)-INDEX(US_2_x,15))^2+(INDEX(US_2_y,33)-INDEX(US_2_y,15))^2)</f>
        <v>4.963275128380456</v>
      </c>
      <c r="S48" s="9">
        <f>SQRT((INDEX(US_2_x,33)-INDEX(US_2_x,16))^2+(INDEX(US_2_y,33)-INDEX(US_2_y,16))^2)</f>
        <v>25.24237904794237</v>
      </c>
      <c r="T48" s="9">
        <f>SQRT((INDEX(US_2_x,33)-INDEX(US_2_x,17))^2+(INDEX(US_2_y,33)-INDEX(US_2_y,17))^2)</f>
        <v>23.34169231225534</v>
      </c>
      <c r="U48" s="9">
        <f>SQRT((INDEX(US_2_x,33)-INDEX(US_2_x,18))^2+(INDEX(US_2_y,33)-INDEX(US_2_y,18))^2)</f>
        <v>11.16774372915138</v>
      </c>
      <c r="V48" s="9">
        <f>SQRT((INDEX(US_2_x,33)-INDEX(US_2_x,19))^2+(INDEX(US_2_y,33)-INDEX(US_2_y,19))^2)</f>
        <v>20.26853719438084</v>
      </c>
      <c r="W48" s="9">
        <f>SQRT((INDEX(US_2_x,33)-INDEX(US_2_x,20))^2+(INDEX(US_2_y,33)-INDEX(US_2_y,20))^2)</f>
        <v>6.536206851071961</v>
      </c>
      <c r="X48" s="9">
        <f>SQRT((INDEX(US_2_x,33)-INDEX(US_2_x,21))^2+(INDEX(US_2_y,33)-INDEX(US_2_y,21))^2)</f>
        <v>19.528607221202446</v>
      </c>
      <c r="Y48" s="9">
        <f>SQRT((INDEX(US_2_x,33)-INDEX(US_2_x,22))^2+(INDEX(US_2_y,33)-INDEX(US_2_y,22))^2)</f>
        <v>20.88442960676686</v>
      </c>
      <c r="Z48" s="9">
        <f>SQRT((INDEX(US_2_x,33)-INDEX(US_2_x,23))^2+(INDEX(US_2_y,33)-INDEX(US_2_y,23))^2)</f>
        <v>15.77215901517608</v>
      </c>
      <c r="AA48" s="9">
        <f>SQRT((INDEX(US_2_x,33)-INDEX(US_2_x,24))^2+(INDEX(US_2_y,33)-INDEX(US_2_y,24))^2)</f>
        <v>48.06801951401785</v>
      </c>
      <c r="AB48" s="9">
        <f>SQRT((INDEX(US_2_x,33)-INDEX(US_2_x,25))^2+(INDEX(US_2_y,33)-INDEX(US_2_y,25))^2)</f>
        <v>22.834977556371722</v>
      </c>
      <c r="AC48" s="9">
        <f>SQRT((INDEX(US_2_x,33)-INDEX(US_2_x,26))^2+(INDEX(US_2_y,33)-INDEX(US_2_y,26))^2)</f>
        <v>61.457212758145815</v>
      </c>
      <c r="AD48" s="9">
        <f>SQRT((INDEX(US_2_x,33)-INDEX(US_2_x,27))^2+(INDEX(US_2_y,33)-INDEX(US_2_y,27))^2)</f>
        <v>19.959852203861622</v>
      </c>
      <c r="AE48" s="9">
        <f>SQRT((INDEX(US_2_x,33)-INDEX(US_2_x,28))^2+(INDEX(US_2_y,33)-INDEX(US_2_y,28))^2)</f>
        <v>13.769854755951489</v>
      </c>
      <c r="AF48" s="9">
        <f>SQRT((INDEX(US_2_x,33)-INDEX(US_2_x,29))^2+(INDEX(US_2_y,33)-INDEX(US_2_y,29))^2)</f>
        <v>40.49430824202336</v>
      </c>
      <c r="AG48" s="9">
        <f>SQRT((INDEX(US_2_x,33)-INDEX(US_2_x,30))^2+(INDEX(US_2_y,33)-INDEX(US_2_y,30))^2)</f>
        <v>16.230727032391368</v>
      </c>
      <c r="AH48" s="9">
        <f>SQRT((INDEX(US_2_x,33)-INDEX(US_2_x,31))^2+(INDEX(US_2_y,33)-INDEX(US_2_y,31))^2)</f>
        <v>11.792137210870637</v>
      </c>
      <c r="AI48" s="9">
        <f>SQRT((INDEX(US_2_x,33)-INDEX(US_2_x,32))^2+(INDEX(US_2_y,33)-INDEX(US_2_y,32))^2)</f>
        <v>31.83737583407276</v>
      </c>
      <c r="AJ48" s="9" t="s">
        <v>30</v>
      </c>
      <c r="AK48" s="9">
        <f>SQRT((INDEX(US_2_x,33)-INDEX(US_2_x,34))^2+(INDEX(US_2_y,33)-INDEX(US_2_y,34))^2)</f>
        <v>26.84352622141883</v>
      </c>
      <c r="AL48" s="9">
        <f>SQRT((INDEX(US_2_x,33)-INDEX(US_2_x,35))^2+(INDEX(US_2_y,33)-INDEX(US_2_y,35))^2)</f>
        <v>64.74122179878906</v>
      </c>
      <c r="AM48" s="9">
        <f>SQRT((INDEX(US_2_x,33)-INDEX(US_2_x,36))^2+(INDEX(US_2_y,33)-INDEX(US_2_y,36))^2)</f>
        <v>10.212345470067097</v>
      </c>
      <c r="AN48" s="9">
        <f>SQRT((INDEX(US_2_x,33)-INDEX(US_2_x,37))^2+(INDEX(US_2_y,33)-INDEX(US_2_y,37))^2)</f>
        <v>19.51148379800983</v>
      </c>
      <c r="AO48" s="9">
        <f>SQRT((INDEX(US_2_x,33)-INDEX(US_2_x,38))^2+(INDEX(US_2_y,33)-INDEX(US_2_y,38))^2)</f>
        <v>13.402227426812303</v>
      </c>
      <c r="AP48" s="9">
        <f>SQRT((INDEX(US_2_x,33)-INDEX(US_2_x,39))^2+(INDEX(US_2_y,33)-INDEX(US_2_y,39))^2)</f>
        <v>29.62043213729334</v>
      </c>
      <c r="AQ48" s="9">
        <f>SQRT((INDEX(US_2_x,33)-INDEX(US_2_x,40))^2+(INDEX(US_2_y,33)-INDEX(US_2_y,40))^2)</f>
        <v>10.495089327871392</v>
      </c>
      <c r="AR48" s="9">
        <f>SQRT((INDEX(US_2_x,33)-INDEX(US_2_x,41))^2+(INDEX(US_2_y,33)-INDEX(US_2_y,41))^2)</f>
        <v>33.579115533319225</v>
      </c>
      <c r="AS48" s="9">
        <f>SQRT((INDEX(US_2_x,33)-INDEX(US_2_x,42))^2+(INDEX(US_2_y,33)-INDEX(US_2_y,42))^2)</f>
        <v>47.86743778394662</v>
      </c>
      <c r="AT48" s="9">
        <f>SQRT((INDEX(US_2_x,33)-INDEX(US_2_x,43))^2+(INDEX(US_2_y,33)-INDEX(US_2_y,43))^2)</f>
        <v>19.25718567184727</v>
      </c>
      <c r="AU48" s="9">
        <f>SQRT((INDEX(US_2_x,33)-INDEX(US_2_x,44))^2+(INDEX(US_2_y,33)-INDEX(US_2_y,44))^2)</f>
        <v>10.850092165507165</v>
      </c>
      <c r="AV48" s="9">
        <f>SQRT((INDEX(US_2_x,33)-INDEX(US_2_x,45))^2+(INDEX(US_2_y,33)-INDEX(US_2_y,45))^2)</f>
        <v>64.35220664437236</v>
      </c>
      <c r="AW48" s="20">
        <f>SQRT((INDEX(US_2_x,33)-INDEX(US_2_x,46))^2+(INDEX(US_2_y,33)-INDEX(US_2_y,46))^2)</f>
        <v>4.213798761212964</v>
      </c>
      <c r="AX48" s="9">
        <f>SQRT((INDEX(US_2_x,33)-INDEX(US_2_x,47))^2+(INDEX(US_2_y,33)-INDEX(US_2_y,47))^2)</f>
        <v>12.439075528350171</v>
      </c>
      <c r="AY48" s="9">
        <f>SQRT((INDEX(US_2_x,33)-INDEX(US_2_x,48))^2+(INDEX(US_2_y,33)-INDEX(US_2_y,48))^2)</f>
        <v>36.18807814736782</v>
      </c>
      <c r="AZ48" s="9" t="s">
        <v>30</v>
      </c>
      <c r="BA48" s="34">
        <v>64.26</v>
      </c>
      <c r="BB48" s="34">
        <v>31.73</v>
      </c>
    </row>
    <row r="49" spans="3:54" ht="15" thickBot="1" thickTop="1">
      <c r="C49" s="4">
        <v>34</v>
      </c>
      <c r="D49" s="9">
        <f>SQRT((INDEX(US_2_x,34)-INDEX(US_2_x,1))^2+(INDEX(US_2_y,34)-INDEX(US_2_y,1))^2)</f>
        <v>21.41238193195704</v>
      </c>
      <c r="E49" s="9">
        <f>SQRT((INDEX(US_2_x,34)-INDEX(US_2_x,2))^2+(INDEX(US_2_y,34)-INDEX(US_2_y,2))^2)</f>
        <v>26.555543677356713</v>
      </c>
      <c r="F49" s="20">
        <f>SQRT((INDEX(US_2_x,34)-INDEX(US_2_x,3))^2+(INDEX(US_2_y,34)-INDEX(US_2_y,3))^2)</f>
        <v>9.492944748601458</v>
      </c>
      <c r="G49" s="9">
        <f>SQRT((INDEX(US_2_x,34)-INDEX(US_2_x,4))^2+(INDEX(US_2_y,34)-INDEX(US_2_y,4))^2)</f>
        <v>42.22120083559917</v>
      </c>
      <c r="H49" s="9">
        <f>SQRT((INDEX(US_2_x,34)-INDEX(US_2_x,5))^2+(INDEX(US_2_y,34)-INDEX(US_2_y,5))^2)</f>
        <v>15.898402435465016</v>
      </c>
      <c r="I49" s="9">
        <f>SQRT((INDEX(US_2_x,34)-INDEX(US_2_x,6))^2+(INDEX(US_2_y,34)-INDEX(US_2_y,6))^2)</f>
        <v>44.30304729925471</v>
      </c>
      <c r="J49" s="9">
        <f>SQRT((INDEX(US_2_x,34)-INDEX(US_2_x,7))^2+(INDEX(US_2_y,34)-INDEX(US_2_y,7))^2)</f>
        <v>38.899291767331704</v>
      </c>
      <c r="K49" s="9">
        <f>SQRT((INDEX(US_2_x,34)-INDEX(US_2_x,8))^2+(INDEX(US_2_y,34)-INDEX(US_2_y,8))^2)</f>
        <v>26.57921932638354</v>
      </c>
      <c r="L49" s="9">
        <f>SQRT((INDEX(US_2_x,34)-INDEX(US_2_x,9))^2+(INDEX(US_2_y,34)-INDEX(US_2_y,9))^2)</f>
        <v>23.908301905405168</v>
      </c>
      <c r="M49" s="9">
        <f>SQRT((INDEX(US_2_x,34)-INDEX(US_2_x,10))^2+(INDEX(US_2_y,34)-INDEX(US_2_y,10))^2)</f>
        <v>35.980851852061534</v>
      </c>
      <c r="N49" s="9">
        <f>SQRT((INDEX(US_2_x,34)-INDEX(US_2_x,11))^2+(INDEX(US_2_y,34)-INDEX(US_2_y,11))^2)</f>
        <v>16.49867873497754</v>
      </c>
      <c r="O49" s="9">
        <f>SQRT((INDEX(US_2_x,34)-INDEX(US_2_x,12))^2+(INDEX(US_2_y,34)-INDEX(US_2_y,12))^2)</f>
        <v>21.7089520705169</v>
      </c>
      <c r="P49" s="9">
        <f>SQRT((INDEX(US_2_x,34)-INDEX(US_2_x,13))^2+(INDEX(US_2_y,34)-INDEX(US_2_y,13))^2)</f>
        <v>14.792498098698541</v>
      </c>
      <c r="Q49" s="9">
        <f>SQRT((INDEX(US_2_x,34)-INDEX(US_2_x,14))^2+(INDEX(US_2_y,34)-INDEX(US_2_y,14))^2)</f>
        <v>8.370095578904701</v>
      </c>
      <c r="R49" s="9">
        <f>SQRT((INDEX(US_2_x,34)-INDEX(US_2_x,15))^2+(INDEX(US_2_y,34)-INDEX(US_2_y,15))^2)</f>
        <v>22.867763336190094</v>
      </c>
      <c r="S49" s="9">
        <f>SQRT((INDEX(US_2_x,34)-INDEX(US_2_x,16))^2+(INDEX(US_2_y,34)-INDEX(US_2_y,16))^2)</f>
        <v>15.89604353290466</v>
      </c>
      <c r="T49" s="9">
        <f>SQRT((INDEX(US_2_x,34)-INDEX(US_2_x,17))^2+(INDEX(US_2_y,34)-INDEX(US_2_y,17))^2)</f>
        <v>49.90611685955941</v>
      </c>
      <c r="U49" s="9">
        <f>SQRT((INDEX(US_2_x,34)-INDEX(US_2_x,18))^2+(INDEX(US_2_y,34)-INDEX(US_2_y,18))^2)</f>
        <v>37.23839416516239</v>
      </c>
      <c r="V49" s="9">
        <f>SQRT((INDEX(US_2_x,34)-INDEX(US_2_x,19))^2+(INDEX(US_2_y,34)-INDEX(US_2_y,19))^2)</f>
        <v>47.10095646587232</v>
      </c>
      <c r="W49" s="9">
        <f>SQRT((INDEX(US_2_x,34)-INDEX(US_2_x,20))^2+(INDEX(US_2_y,34)-INDEX(US_2_y,20))^2)</f>
        <v>26.931455586358492</v>
      </c>
      <c r="X49" s="9">
        <f>SQRT((INDEX(US_2_x,34)-INDEX(US_2_x,21))^2+(INDEX(US_2_y,34)-INDEX(US_2_y,21))^2)</f>
        <v>21.745955945876464</v>
      </c>
      <c r="Y49" s="9">
        <f>SQRT((INDEX(US_2_x,34)-INDEX(US_2_x,22))^2+(INDEX(US_2_y,34)-INDEX(US_2_y,22))^2)</f>
        <v>14.955911874573212</v>
      </c>
      <c r="Z49" s="9">
        <f>SQRT((INDEX(US_2_x,34)-INDEX(US_2_x,23))^2+(INDEX(US_2_y,34)-INDEX(US_2_y,23))^2)</f>
        <v>11.47840145664892</v>
      </c>
      <c r="AA49" s="9">
        <f>SQRT((INDEX(US_2_x,34)-INDEX(US_2_x,24))^2+(INDEX(US_2_y,34)-INDEX(US_2_y,24))^2)</f>
        <v>33.831857767494824</v>
      </c>
      <c r="AB49" s="9">
        <f>SQRT((INDEX(US_2_x,34)-INDEX(US_2_x,25))^2+(INDEX(US_2_y,34)-INDEX(US_2_y,25))^2)</f>
        <v>11.636051735876734</v>
      </c>
      <c r="AC49" s="9">
        <f>SQRT((INDEX(US_2_x,34)-INDEX(US_2_x,26))^2+(INDEX(US_2_y,34)-INDEX(US_2_y,26))^2)</f>
        <v>39.376837100000806</v>
      </c>
      <c r="AD49" s="9">
        <f>SQRT((INDEX(US_2_x,34)-INDEX(US_2_x,27))^2+(INDEX(US_2_y,34)-INDEX(US_2_y,27))^2)</f>
        <v>46.68666833261932</v>
      </c>
      <c r="AE49" s="9">
        <f>SQRT((INDEX(US_2_x,34)-INDEX(US_2_x,28))^2+(INDEX(US_2_y,34)-INDEX(US_2_y,28))^2)</f>
        <v>40.4321382071243</v>
      </c>
      <c r="AF49" s="9">
        <f>SQRT((INDEX(US_2_x,34)-INDEX(US_2_x,29))^2+(INDEX(US_2_y,34)-INDEX(US_2_y,29))^2)</f>
        <v>14.977065800750157</v>
      </c>
      <c r="AG49" s="9">
        <f>SQRT((INDEX(US_2_x,34)-INDEX(US_2_x,30))^2+(INDEX(US_2_y,34)-INDEX(US_2_y,30))^2)</f>
        <v>42.9795300113903</v>
      </c>
      <c r="AH49" s="9">
        <f>SQRT((INDEX(US_2_x,34)-INDEX(US_2_x,31))^2+(INDEX(US_2_y,34)-INDEX(US_2_y,31))^2)</f>
        <v>33.45979378298677</v>
      </c>
      <c r="AI49" s="9">
        <f>SQRT((INDEX(US_2_x,34)-INDEX(US_2_x,32))^2+(INDEX(US_2_y,34)-INDEX(US_2_y,32))^2)</f>
        <v>25.094258307429605</v>
      </c>
      <c r="AJ49" s="9">
        <f>SQRT((INDEX(US_2_x,34)-INDEX(US_2_x,33))^2+(INDEX(US_2_y,34)-INDEX(US_2_y,33))^2)</f>
        <v>26.84352622141883</v>
      </c>
      <c r="AK49" s="9" t="s">
        <v>30</v>
      </c>
      <c r="AL49" s="9">
        <f>SQRT((INDEX(US_2_x,34)-INDEX(US_2_x,35))^2+(INDEX(US_2_y,34)-INDEX(US_2_y,35))^2)</f>
        <v>46.96652957160025</v>
      </c>
      <c r="AM49" s="9">
        <f>SQRT((INDEX(US_2_x,34)-INDEX(US_2_x,36))^2+(INDEX(US_2_y,34)-INDEX(US_2_y,36))^2)</f>
        <v>36.92040221882747</v>
      </c>
      <c r="AN49" s="9">
        <f>SQRT((INDEX(US_2_x,34)-INDEX(US_2_x,37))^2+(INDEX(US_2_y,34)-INDEX(US_2_y,37))^2)</f>
        <v>46.35442265846917</v>
      </c>
      <c r="AO49" s="9">
        <f>SQRT((INDEX(US_2_x,34)-INDEX(US_2_x,38))^2+(INDEX(US_2_y,34)-INDEX(US_2_y,38))^2)</f>
        <v>29.74016139835156</v>
      </c>
      <c r="AP49" s="9">
        <f>SQRT((INDEX(US_2_x,34)-INDEX(US_2_x,39))^2+(INDEX(US_2_y,34)-INDEX(US_2_y,39))^2)</f>
        <v>19.807920133118465</v>
      </c>
      <c r="AQ49" s="9">
        <f>SQRT((INDEX(US_2_x,34)-INDEX(US_2_x,40))^2+(INDEX(US_2_y,34)-INDEX(US_2_y,40))^2)</f>
        <v>19.088053855749678</v>
      </c>
      <c r="AR49" s="9">
        <f>SQRT((INDEX(US_2_x,34)-INDEX(US_2_x,41))^2+(INDEX(US_2_y,34)-INDEX(US_2_y,41))^2)</f>
        <v>11.231620542023311</v>
      </c>
      <c r="AS49" s="9">
        <f>SQRT((INDEX(US_2_x,34)-INDEX(US_2_x,42))^2+(INDEX(US_2_y,34)-INDEX(US_2_y,42))^2)</f>
        <v>27.174445716518303</v>
      </c>
      <c r="AT49" s="9">
        <f>SQRT((INDEX(US_2_x,34)-INDEX(US_2_x,43))^2+(INDEX(US_2_y,34)-INDEX(US_2_y,43))^2)</f>
        <v>45.64754648390207</v>
      </c>
      <c r="AU49" s="9">
        <f>SQRT((INDEX(US_2_x,34)-INDEX(US_2_x,44))^2+(INDEX(US_2_y,34)-INDEX(US_2_y,44))^2)</f>
        <v>35.47038483016502</v>
      </c>
      <c r="AV49" s="9">
        <f>SQRT((INDEX(US_2_x,34)-INDEX(US_2_x,45))^2+(INDEX(US_2_y,34)-INDEX(US_2_y,45))^2)</f>
        <v>48.2970889391897</v>
      </c>
      <c r="AW49" s="9">
        <f>SQRT((INDEX(US_2_x,34)-INDEX(US_2_x,46))^2+(INDEX(US_2_y,34)-INDEX(US_2_y,46))^2)</f>
        <v>28.38595779606529</v>
      </c>
      <c r="AX49" s="9">
        <f>SQRT((INDEX(US_2_x,34)-INDEX(US_2_x,47))^2+(INDEX(US_2_y,34)-INDEX(US_2_y,47))^2)</f>
        <v>21.39282356305497</v>
      </c>
      <c r="AY49" s="9">
        <f>SQRT((INDEX(US_2_x,34)-INDEX(US_2_x,48))^2+(INDEX(US_2_y,34)-INDEX(US_2_y,48))^2)</f>
        <v>17.509314663915315</v>
      </c>
      <c r="AZ49" s="9" t="s">
        <v>30</v>
      </c>
      <c r="BA49" s="34">
        <v>46.08</v>
      </c>
      <c r="BB49" s="34">
        <v>11.98</v>
      </c>
    </row>
    <row r="50" spans="3:54" ht="15" thickBot="1" thickTop="1">
      <c r="C50" s="4">
        <v>35</v>
      </c>
      <c r="D50" s="9">
        <f>SQRT((INDEX(US_2_x,35)-INDEX(US_2_x,1))^2+(INDEX(US_2_y,35)-INDEX(US_2_y,1))^2)</f>
        <v>67.54234967781325</v>
      </c>
      <c r="E50" s="9">
        <f>SQRT((INDEX(US_2_x,35)-INDEX(US_2_x,2))^2+(INDEX(US_2_y,35)-INDEX(US_2_y,2))^2)</f>
        <v>31.225848267100766</v>
      </c>
      <c r="F50" s="9">
        <f>SQRT((INDEX(US_2_x,35)-INDEX(US_2_x,3))^2+(INDEX(US_2_y,35)-INDEX(US_2_y,3))^2)</f>
        <v>55.63660036342983</v>
      </c>
      <c r="G50" s="9">
        <f>SQRT((INDEX(US_2_x,35)-INDEX(US_2_x,4))^2+(INDEX(US_2_y,35)-INDEX(US_2_y,4))^2)</f>
        <v>14.26011570780546</v>
      </c>
      <c r="H50" s="9">
        <f>SQRT((INDEX(US_2_x,35)-INDEX(US_2_x,5))^2+(INDEX(US_2_y,35)-INDEX(US_2_y,5))^2)</f>
        <v>31.12019440813312</v>
      </c>
      <c r="I50" s="9">
        <f>SQRT((INDEX(US_2_x,35)-INDEX(US_2_x,6))^2+(INDEX(US_2_y,35)-INDEX(US_2_y,6))^2)</f>
        <v>79.09411419315599</v>
      </c>
      <c r="J50" s="9">
        <f>SQRT((INDEX(US_2_x,35)-INDEX(US_2_x,7))^2+(INDEX(US_2_y,35)-INDEX(US_2_y,7))^2)</f>
        <v>76.97564549907977</v>
      </c>
      <c r="K50" s="9">
        <f>SQRT((INDEX(US_2_x,35)-INDEX(US_2_x,8))^2+(INDEX(US_2_y,35)-INDEX(US_2_y,8))^2)</f>
        <v>73.03784498463793</v>
      </c>
      <c r="L50" s="9">
        <f>SQRT((INDEX(US_2_x,35)-INDEX(US_2_x,9))^2+(INDEX(US_2_y,35)-INDEX(US_2_y,9))^2)</f>
        <v>68.82963460603288</v>
      </c>
      <c r="M50" s="9">
        <f>SQRT((INDEX(US_2_x,35)-INDEX(US_2_x,10))^2+(INDEX(US_2_y,35)-INDEX(US_2_y,10))^2)</f>
        <v>11.017304570538112</v>
      </c>
      <c r="N50" s="9">
        <f>SQRT((INDEX(US_2_x,35)-INDEX(US_2_x,11))^2+(INDEX(US_2_y,35)-INDEX(US_2_y,11))^2)</f>
        <v>54.58949074684614</v>
      </c>
      <c r="O50" s="9">
        <f>SQRT((INDEX(US_2_x,35)-INDEX(US_2_x,12))^2+(INDEX(US_2_y,35)-INDEX(US_2_y,12))^2)</f>
        <v>60.02066727386493</v>
      </c>
      <c r="P50" s="9">
        <f>SQRT((INDEX(US_2_x,35)-INDEX(US_2_x,13))^2+(INDEX(US_2_y,35)-INDEX(US_2_y,13))^2)</f>
        <v>47.053430268153676</v>
      </c>
      <c r="Q50" s="9">
        <f>SQRT((INDEX(US_2_x,35)-INDEX(US_2_x,14))^2+(INDEX(US_2_y,35)-INDEX(US_2_y,14))^2)</f>
        <v>45.92568126876291</v>
      </c>
      <c r="R50" s="9">
        <f>SQRT((INDEX(US_2_x,35)-INDEX(US_2_x,15))^2+(INDEX(US_2_y,35)-INDEX(US_2_y,15))^2)</f>
        <v>63.41219519934632</v>
      </c>
      <c r="S50" s="9">
        <f>SQRT((INDEX(US_2_x,35)-INDEX(US_2_x,16))^2+(INDEX(US_2_y,35)-INDEX(US_2_y,16))^2)</f>
        <v>62.77600258060401</v>
      </c>
      <c r="T50" s="9">
        <f>SQRT((INDEX(US_2_x,35)-INDEX(US_2_x,17))^2+(INDEX(US_2_y,35)-INDEX(US_2_y,17))^2)</f>
        <v>81.47807557864876</v>
      </c>
      <c r="U50" s="9">
        <f>SQRT((INDEX(US_2_x,35)-INDEX(US_2_x,18))^2+(INDEX(US_2_y,35)-INDEX(US_2_y,18))^2)</f>
        <v>75.64826303359516</v>
      </c>
      <c r="V50" s="9">
        <f>SQRT((INDEX(US_2_x,35)-INDEX(US_2_x,19))^2+(INDEX(US_2_y,35)-INDEX(US_2_y,19))^2)</f>
        <v>81.06400557584111</v>
      </c>
      <c r="W50" s="9">
        <f>SQRT((INDEX(US_2_x,35)-INDEX(US_2_x,20))^2+(INDEX(US_2_y,35)-INDEX(US_2_y,20))^2)</f>
        <v>60.28943025108133</v>
      </c>
      <c r="X50" s="9">
        <f>SQRT((INDEX(US_2_x,35)-INDEX(US_2_x,21))^2+(INDEX(US_2_y,35)-INDEX(US_2_y,21))^2)</f>
        <v>46.06626639961176</v>
      </c>
      <c r="Y50" s="9">
        <f>SQRT((INDEX(US_2_x,35)-INDEX(US_2_x,22))^2+(INDEX(US_2_y,35)-INDEX(US_2_y,22))^2)</f>
        <v>61.77808672984297</v>
      </c>
      <c r="Z50" s="9">
        <f>SQRT((INDEX(US_2_x,35)-INDEX(US_2_x,23))^2+(INDEX(US_2_y,35)-INDEX(US_2_y,23))^2)</f>
        <v>51.76111668038085</v>
      </c>
      <c r="AA50" s="9">
        <f>SQRT((INDEX(US_2_x,35)-INDEX(US_2_x,24))^2+(INDEX(US_2_y,35)-INDEX(US_2_y,24))^2)</f>
        <v>17.157357022571976</v>
      </c>
      <c r="AB50" s="9">
        <f>SQRT((INDEX(US_2_x,35)-INDEX(US_2_x,25))^2+(INDEX(US_2_y,35)-INDEX(US_2_y,25))^2)</f>
        <v>42.853111905671454</v>
      </c>
      <c r="AC50" s="9">
        <f>SQRT((INDEX(US_2_x,35)-INDEX(US_2_x,26))^2+(INDEX(US_2_y,35)-INDEX(US_2_y,26))^2)</f>
        <v>13.74483175597286</v>
      </c>
      <c r="AD50" s="9">
        <f>SQRT((INDEX(US_2_x,35)-INDEX(US_2_x,27))^2+(INDEX(US_2_y,35)-INDEX(US_2_y,27))^2)</f>
        <v>79.69104905822233</v>
      </c>
      <c r="AE50" s="9">
        <f>SQRT((INDEX(US_2_x,35)-INDEX(US_2_x,28))^2+(INDEX(US_2_y,35)-INDEX(US_2_y,28))^2)</f>
        <v>77.2240564850099</v>
      </c>
      <c r="AF50" s="9">
        <f>SQRT((INDEX(US_2_x,35)-INDEX(US_2_x,29))^2+(INDEX(US_2_y,35)-INDEX(US_2_y,29))^2)</f>
        <v>34.7553103856087</v>
      </c>
      <c r="AG50" s="9">
        <f>SQRT((INDEX(US_2_x,35)-INDEX(US_2_x,30))^2+(INDEX(US_2_y,35)-INDEX(US_2_y,30))^2)</f>
        <v>76.78433499093418</v>
      </c>
      <c r="AH50" s="9">
        <f>SQRT((INDEX(US_2_x,35)-INDEX(US_2_x,31))^2+(INDEX(US_2_y,35)-INDEX(US_2_y,31))^2)</f>
        <v>75.44713977348644</v>
      </c>
      <c r="AI50" s="9">
        <f>SQRT((INDEX(US_2_x,35)-INDEX(US_2_x,32))^2+(INDEX(US_2_y,35)-INDEX(US_2_y,32))^2)</f>
        <v>34.0105939377718</v>
      </c>
      <c r="AJ50" s="9">
        <f>SQRT((INDEX(US_2_x,35)-INDEX(US_2_x,33))^2+(INDEX(US_2_y,35)-INDEX(US_2_y,33))^2)</f>
        <v>64.74122179878906</v>
      </c>
      <c r="AK50" s="9">
        <f>SQRT((INDEX(US_2_x,35)-INDEX(US_2_x,34))^2+(INDEX(US_2_y,35)-INDEX(US_2_y,34))^2)</f>
        <v>46.96652957160025</v>
      </c>
      <c r="AL50" s="9" t="s">
        <v>30</v>
      </c>
      <c r="AM50" s="9">
        <f>SQRT((INDEX(US_2_x,35)-INDEX(US_2_x,36))^2+(INDEX(US_2_y,35)-INDEX(US_2_y,36))^2)</f>
        <v>73.92130545384057</v>
      </c>
      <c r="AN50" s="9">
        <f>SQRT((INDEX(US_2_x,35)-INDEX(US_2_x,37))^2+(INDEX(US_2_y,35)-INDEX(US_2_y,37))^2)</f>
        <v>80.96404263622216</v>
      </c>
      <c r="AO50" s="9">
        <f>SQRT((INDEX(US_2_x,35)-INDEX(US_2_x,38))^2+(INDEX(US_2_y,35)-INDEX(US_2_y,38))^2)</f>
        <v>73.69053195628322</v>
      </c>
      <c r="AP50" s="9">
        <f>SQRT((INDEX(US_2_x,35)-INDEX(US_2_x,39))^2+(INDEX(US_2_y,35)-INDEX(US_2_y,39))^2)</f>
        <v>35.148669960611606</v>
      </c>
      <c r="AQ50" s="9">
        <f>SQRT((INDEX(US_2_x,35)-INDEX(US_2_x,40))^2+(INDEX(US_2_y,35)-INDEX(US_2_y,40))^2)</f>
        <v>62.48525025956126</v>
      </c>
      <c r="AR50" s="9">
        <f>SQRT((INDEX(US_2_x,35)-INDEX(US_2_x,41))^2+(INDEX(US_2_y,35)-INDEX(US_2_y,41))^2)</f>
        <v>53.78774953462917</v>
      </c>
      <c r="AS50" s="9">
        <f>SQRT((INDEX(US_2_x,35)-INDEX(US_2_x,42))^2+(INDEX(US_2_y,35)-INDEX(US_2_y,42))^2)</f>
        <v>20.00514433839456</v>
      </c>
      <c r="AT50" s="9">
        <f>SQRT((INDEX(US_2_x,35)-INDEX(US_2_x,43))^2+(INDEX(US_2_y,35)-INDEX(US_2_y,43))^2)</f>
        <v>77.37088470477767</v>
      </c>
      <c r="AU50" s="9">
        <f>SQRT((INDEX(US_2_x,35)-INDEX(US_2_x,44))^2+(INDEX(US_2_y,35)-INDEX(US_2_y,44))^2)</f>
        <v>75.55575755691952</v>
      </c>
      <c r="AV50" s="20">
        <f>SQRT((INDEX(US_2_x,35)-INDEX(US_2_x,45))^2+(INDEX(US_2_y,35)-INDEX(US_2_y,45))^2)</f>
        <v>4.601836589884523</v>
      </c>
      <c r="AW50" s="9">
        <f>SQRT((INDEX(US_2_x,35)-INDEX(US_2_x,46))^2+(INDEX(US_2_y,35)-INDEX(US_2_y,46))^2)</f>
        <v>68.28351558026284</v>
      </c>
      <c r="AX50" s="9">
        <f>SQRT((INDEX(US_2_x,35)-INDEX(US_2_x,47))^2+(INDEX(US_2_y,35)-INDEX(US_2_y,47))^2)</f>
        <v>52.66118874465331</v>
      </c>
      <c r="AY50" s="9">
        <f>SQRT((INDEX(US_2_x,35)-INDEX(US_2_x,48))^2+(INDEX(US_2_y,35)-INDEX(US_2_y,48))^2)</f>
        <v>30.124866804684796</v>
      </c>
      <c r="AZ50" s="9" t="s">
        <v>30</v>
      </c>
      <c r="BA50" s="34">
        <v>0.23</v>
      </c>
      <c r="BB50" s="34">
        <v>22.16</v>
      </c>
    </row>
    <row r="51" spans="3:54" ht="15" thickBot="1" thickTop="1">
      <c r="C51" s="4">
        <v>36</v>
      </c>
      <c r="D51" s="9">
        <f>SQRT((INDEX(US_2_x,36)-INDEX(US_2_x,1))^2+(INDEX(US_2_y,36)-INDEX(US_2_y,1))^2)</f>
        <v>23.82115026609756</v>
      </c>
      <c r="E51" s="9">
        <f>SQRT((INDEX(US_2_x,36)-INDEX(US_2_x,2))^2+(INDEX(US_2_y,36)-INDEX(US_2_y,2))^2)</f>
        <v>62.734030637286494</v>
      </c>
      <c r="F51" s="9">
        <f>SQRT((INDEX(US_2_x,36)-INDEX(US_2_x,3))^2+(INDEX(US_2_y,36)-INDEX(US_2_y,3))^2)</f>
        <v>29.150555740843092</v>
      </c>
      <c r="G51" s="9">
        <f>SQRT((INDEX(US_2_x,36)-INDEX(US_2_x,4))^2+(INDEX(US_2_y,36)-INDEX(US_2_y,4))^2)</f>
        <v>74.50721642901445</v>
      </c>
      <c r="H51" s="9">
        <f>SQRT((INDEX(US_2_x,36)-INDEX(US_2_x,5))^2+(INDEX(US_2_y,36)-INDEX(US_2_y,5))^2)</f>
        <v>46.81215760889472</v>
      </c>
      <c r="I51" s="9">
        <f>SQRT((INDEX(US_2_x,36)-INDEX(US_2_x,6))^2+(INDEX(US_2_y,36)-INDEX(US_2_y,6))^2)</f>
        <v>7.685317169772497</v>
      </c>
      <c r="J51" s="9">
        <f>SQRT((INDEX(US_2_x,36)-INDEX(US_2_x,7))^2+(INDEX(US_2_y,36)-INDEX(US_2_y,7))^2)</f>
        <v>3.3104984518951226</v>
      </c>
      <c r="K51" s="9">
        <f>SQRT((INDEX(US_2_x,36)-INDEX(US_2_x,8))^2+(INDEX(US_2_y,36)-INDEX(US_2_y,8))^2)</f>
        <v>25.110575461346958</v>
      </c>
      <c r="L51" s="9">
        <f>SQRT((INDEX(US_2_x,36)-INDEX(US_2_x,9))^2+(INDEX(US_2_y,36)-INDEX(US_2_y,9))^2)</f>
        <v>19.260674962212512</v>
      </c>
      <c r="M51" s="9">
        <f>SQRT((INDEX(US_2_x,36)-INDEX(US_2_x,10))^2+(INDEX(US_2_y,36)-INDEX(US_2_y,10))^2)</f>
        <v>63.752173296288504</v>
      </c>
      <c r="N51" s="9">
        <f>SQRT((INDEX(US_2_x,36)-INDEX(US_2_x,11))^2+(INDEX(US_2_y,36)-INDEX(US_2_y,11))^2)</f>
        <v>21.31743183406482</v>
      </c>
      <c r="O51" s="9">
        <f>SQRT((INDEX(US_2_x,36)-INDEX(US_2_x,12))^2+(INDEX(US_2_y,36)-INDEX(US_2_y,12))^2)</f>
        <v>15.511018664162584</v>
      </c>
      <c r="P51" s="9">
        <f>SQRT((INDEX(US_2_x,36)-INDEX(US_2_x,13))^2+(INDEX(US_2_y,36)-INDEX(US_2_y,13))^2)</f>
        <v>27.717844432783732</v>
      </c>
      <c r="Q51" s="9">
        <f>SQRT((INDEX(US_2_x,36)-INDEX(US_2_x,14))^2+(INDEX(US_2_y,36)-INDEX(US_2_y,14))^2)</f>
        <v>31.607011880277458</v>
      </c>
      <c r="R51" s="9">
        <f>SQRT((INDEX(US_2_x,36)-INDEX(US_2_x,15))^2+(INDEX(US_2_y,36)-INDEX(US_2_y,15))^2)</f>
        <v>14.188083027667977</v>
      </c>
      <c r="S51" s="9">
        <f>SQRT((INDEX(US_2_x,36)-INDEX(US_2_x,16))^2+(INDEX(US_2_y,36)-INDEX(US_2_y,16))^2)</f>
        <v>33.12699956229057</v>
      </c>
      <c r="T51" s="9">
        <f>SQRT((INDEX(US_2_x,36)-INDEX(US_2_x,17))^2+(INDEX(US_2_y,36)-INDEX(US_2_y,17))^2)</f>
        <v>14.511354175265659</v>
      </c>
      <c r="U51" s="9">
        <f>SQRT((INDEX(US_2_x,36)-INDEX(US_2_x,18))^2+(INDEX(US_2_y,36)-INDEX(US_2_y,18))^2)</f>
        <v>2.8551182112129796</v>
      </c>
      <c r="V51" s="9">
        <f>SQRT((INDEX(US_2_x,36)-INDEX(US_2_x,19))^2+(INDEX(US_2_y,36)-INDEX(US_2_y,19))^2)</f>
        <v>10.608449462574626</v>
      </c>
      <c r="W51" s="9">
        <f>SQRT((INDEX(US_2_x,36)-INDEX(US_2_x,20))^2+(INDEX(US_2_y,36)-INDEX(US_2_y,20))^2)</f>
        <v>13.655138227055781</v>
      </c>
      <c r="X51" s="9">
        <f>SQRT((INDEX(US_2_x,36)-INDEX(US_2_x,21))^2+(INDEX(US_2_y,36)-INDEX(US_2_y,21))^2)</f>
        <v>27.952325484653336</v>
      </c>
      <c r="Y51" s="9">
        <f>SQRT((INDEX(US_2_x,36)-INDEX(US_2_x,22))^2+(INDEX(US_2_y,36)-INDEX(US_2_y,22))^2)</f>
        <v>29.05024956863538</v>
      </c>
      <c r="Z51" s="9">
        <f>SQRT((INDEX(US_2_x,36)-INDEX(US_2_x,23))^2+(INDEX(US_2_y,36)-INDEX(US_2_y,23))^2)</f>
        <v>25.97847185651997</v>
      </c>
      <c r="AA51" s="9">
        <f>SQRT((INDEX(US_2_x,36)-INDEX(US_2_x,24))^2+(INDEX(US_2_y,36)-INDEX(US_2_y,24))^2)</f>
        <v>56.98168565425211</v>
      </c>
      <c r="AB51" s="9">
        <f>SQRT((INDEX(US_2_x,36)-INDEX(US_2_x,25))^2+(INDEX(US_2_y,36)-INDEX(US_2_y,25))^2)</f>
        <v>32.821227886841776</v>
      </c>
      <c r="AC51" s="9">
        <f>SQRT((INDEX(US_2_x,36)-INDEX(US_2_x,26))^2+(INDEX(US_2_y,36)-INDEX(US_2_y,26))^2)</f>
        <v>71.33993131479733</v>
      </c>
      <c r="AD51" s="9">
        <f>SQRT((INDEX(US_2_x,36)-INDEX(US_2_x,27))^2+(INDEX(US_2_y,36)-INDEX(US_2_y,27))^2)</f>
        <v>10.84365713216717</v>
      </c>
      <c r="AE51" s="9">
        <f>SQRT((INDEX(US_2_x,36)-INDEX(US_2_x,28))^2+(INDEX(US_2_y,36)-INDEX(US_2_y,28))^2)</f>
        <v>3.5588340787398294</v>
      </c>
      <c r="AF51" s="9">
        <f>SQRT((INDEX(US_2_x,36)-INDEX(US_2_x,29))^2+(INDEX(US_2_y,36)-INDEX(US_2_y,29))^2)</f>
        <v>50.70657748261068</v>
      </c>
      <c r="AG51" s="20">
        <f>SQRT((INDEX(US_2_x,36)-INDEX(US_2_x,30))^2+(INDEX(US_2_y,36)-INDEX(US_2_y,30))^2)</f>
        <v>7.3440111655688565</v>
      </c>
      <c r="AH51" s="9">
        <f>SQRT((INDEX(US_2_x,36)-INDEX(US_2_x,31))^2+(INDEX(US_2_y,36)-INDEX(US_2_y,31))^2)</f>
        <v>10.221022453746981</v>
      </c>
      <c r="AI51" s="9">
        <f>SQRT((INDEX(US_2_x,36)-INDEX(US_2_x,32))^2+(INDEX(US_2_y,36)-INDEX(US_2_y,32))^2)</f>
        <v>40.309657651734035</v>
      </c>
      <c r="AJ51" s="9">
        <f>SQRT((INDEX(US_2_x,36)-INDEX(US_2_x,33))^2+(INDEX(US_2_y,36)-INDEX(US_2_y,33))^2)</f>
        <v>10.212345470067097</v>
      </c>
      <c r="AK51" s="9">
        <f>SQRT((INDEX(US_2_x,36)-INDEX(US_2_x,34))^2+(INDEX(US_2_y,36)-INDEX(US_2_y,34))^2)</f>
        <v>36.92040221882747</v>
      </c>
      <c r="AL51" s="9">
        <f>SQRT((INDEX(US_2_x,36)-INDEX(US_2_x,35))^2+(INDEX(US_2_y,36)-INDEX(US_2_y,35))^2)</f>
        <v>73.92130545384057</v>
      </c>
      <c r="AM51" s="9" t="s">
        <v>30</v>
      </c>
      <c r="AN51" s="9">
        <f>SQRT((INDEX(US_2_x,36)-INDEX(US_2_x,37))^2+(INDEX(US_2_y,36)-INDEX(US_2_y,37))^2)</f>
        <v>9.643920364664988</v>
      </c>
      <c r="AO51" s="9">
        <f>SQRT((INDEX(US_2_x,36)-INDEX(US_2_x,38))^2+(INDEX(US_2_y,36)-INDEX(US_2_y,38))^2)</f>
        <v>15.417396018783455</v>
      </c>
      <c r="AP51" s="9">
        <f>SQRT((INDEX(US_2_x,36)-INDEX(US_2_x,39))^2+(INDEX(US_2_y,36)-INDEX(US_2_y,39))^2)</f>
        <v>38.82035033329813</v>
      </c>
      <c r="AQ51" s="9">
        <f>SQRT((INDEX(US_2_x,36)-INDEX(US_2_x,40))^2+(INDEX(US_2_y,36)-INDEX(US_2_y,40))^2)</f>
        <v>19.12397709682795</v>
      </c>
      <c r="AR51" s="9">
        <f>SQRT((INDEX(US_2_x,36)-INDEX(US_2_x,41))^2+(INDEX(US_2_y,36)-INDEX(US_2_y,41))^2)</f>
        <v>42.85264285898829</v>
      </c>
      <c r="AS51" s="9">
        <f>SQRT((INDEX(US_2_x,36)-INDEX(US_2_x,42))^2+(INDEX(US_2_y,36)-INDEX(US_2_y,42))^2)</f>
        <v>57.71856200564945</v>
      </c>
      <c r="AT51" s="9">
        <f>SQRT((INDEX(US_2_x,36)-INDEX(US_2_x,43))^2+(INDEX(US_2_y,36)-INDEX(US_2_y,43))^2)</f>
        <v>11.204570496007424</v>
      </c>
      <c r="AU51" s="9">
        <f>SQRT((INDEX(US_2_x,36)-INDEX(US_2_x,44))^2+(INDEX(US_2_y,36)-INDEX(US_2_y,44))^2)</f>
        <v>5.997674549356607</v>
      </c>
      <c r="AV51" s="9">
        <f>SQRT((INDEX(US_2_x,36)-INDEX(US_2_x,45))^2+(INDEX(US_2_y,36)-INDEX(US_2_y,45))^2)</f>
        <v>73.21560830861137</v>
      </c>
      <c r="AW51" s="9">
        <f>SQRT((INDEX(US_2_x,36)-INDEX(US_2_x,46))^2+(INDEX(US_2_y,36)-INDEX(US_2_y,46))^2)</f>
        <v>9.01264112233479</v>
      </c>
      <c r="AX51" s="9">
        <f>SQRT((INDEX(US_2_x,36)-INDEX(US_2_x,47))^2+(INDEX(US_2_y,36)-INDEX(US_2_y,47))^2)</f>
        <v>21.277711343093273</v>
      </c>
      <c r="AY51" s="9">
        <f>SQRT((INDEX(US_2_x,36)-INDEX(US_2_x,48))^2+(INDEX(US_2_y,36)-INDEX(US_2_y,48))^2)</f>
        <v>46.070808545108044</v>
      </c>
      <c r="AZ51" s="9" t="s">
        <v>30</v>
      </c>
      <c r="BA51" s="34">
        <v>72.48</v>
      </c>
      <c r="BB51" s="34">
        <v>37.79</v>
      </c>
    </row>
    <row r="52" spans="3:54" ht="15" thickBot="1" thickTop="1">
      <c r="C52" s="4">
        <v>37</v>
      </c>
      <c r="D52" s="9">
        <f>SQRT((INDEX(US_2_x,37)-INDEX(US_2_x,1))^2+(INDEX(US_2_y,37)-INDEX(US_2_y,1))^2)</f>
        <v>33.058959451259206</v>
      </c>
      <c r="E52" s="9">
        <f>SQRT((INDEX(US_2_x,37)-INDEX(US_2_x,2))^2+(INDEX(US_2_y,37)-INDEX(US_2_y,2))^2)</f>
        <v>71.82761725130524</v>
      </c>
      <c r="F52" s="9">
        <f>SQRT((INDEX(US_2_x,37)-INDEX(US_2_x,3))^2+(INDEX(US_2_y,37)-INDEX(US_2_y,3))^2)</f>
        <v>38.77765464800573</v>
      </c>
      <c r="G52" s="9">
        <f>SQRT((INDEX(US_2_x,37)-INDEX(US_2_x,4))^2+(INDEX(US_2_y,37)-INDEX(US_2_y,4))^2)</f>
        <v>82.62979910419728</v>
      </c>
      <c r="H52" s="9">
        <f>SQRT((INDEX(US_2_x,37)-INDEX(US_2_x,5))^2+(INDEX(US_2_y,37)-INDEX(US_2_y,5))^2)</f>
        <v>55.327028656887045</v>
      </c>
      <c r="I52" s="20">
        <f>SQRT((INDEX(US_2_x,37)-INDEX(US_2_x,6))^2+(INDEX(US_2_y,37)-INDEX(US_2_y,6))^2)</f>
        <v>2.061188977265314</v>
      </c>
      <c r="J52" s="9">
        <f>SQRT((INDEX(US_2_x,37)-INDEX(US_2_x,7))^2+(INDEX(US_2_y,37)-INDEX(US_2_y,7))^2)</f>
        <v>8.990895394786891</v>
      </c>
      <c r="K52" s="9">
        <f>SQRT((INDEX(US_2_x,37)-INDEX(US_2_x,8))^2+(INDEX(US_2_y,37)-INDEX(US_2_y,8))^2)</f>
        <v>33.63917061997814</v>
      </c>
      <c r="L52" s="9">
        <f>SQRT((INDEX(US_2_x,37)-INDEX(US_2_x,9))^2+(INDEX(US_2_y,37)-INDEX(US_2_y,9))^2)</f>
        <v>28.443972999565304</v>
      </c>
      <c r="M52" s="9">
        <f>SQRT((INDEX(US_2_x,37)-INDEX(US_2_x,10))^2+(INDEX(US_2_y,37)-INDEX(US_2_y,10))^2)</f>
        <v>71.20717379590346</v>
      </c>
      <c r="N52" s="9">
        <f>SQRT((INDEX(US_2_x,37)-INDEX(US_2_x,11))^2+(INDEX(US_2_y,37)-INDEX(US_2_y,11))^2)</f>
        <v>30.36207667469405</v>
      </c>
      <c r="O52" s="9">
        <f>SQRT((INDEX(US_2_x,37)-INDEX(US_2_x,12))^2+(INDEX(US_2_y,37)-INDEX(US_2_y,12))^2)</f>
        <v>24.71601302799463</v>
      </c>
      <c r="P52" s="9">
        <f>SQRT((INDEX(US_2_x,37)-INDEX(US_2_x,13))^2+(INDEX(US_2_y,37)-INDEX(US_2_y,13))^2)</f>
        <v>36.09622833482745</v>
      </c>
      <c r="Q52" s="9">
        <f>SQRT((INDEX(US_2_x,37)-INDEX(US_2_x,14))^2+(INDEX(US_2_y,37)-INDEX(US_2_y,14))^2)</f>
        <v>40.59076249591772</v>
      </c>
      <c r="R52" s="9">
        <f>SQRT((INDEX(US_2_x,37)-INDEX(US_2_x,15))^2+(INDEX(US_2_y,37)-INDEX(US_2_y,15))^2)</f>
        <v>23.786485658877822</v>
      </c>
      <c r="S52" s="9">
        <f>SQRT((INDEX(US_2_x,37)-INDEX(US_2_x,16))^2+(INDEX(US_2_y,37)-INDEX(US_2_y,16))^2)</f>
        <v>42.60575195909586</v>
      </c>
      <c r="T52" s="9">
        <f>SQRT((INDEX(US_2_x,37)-INDEX(US_2_x,17))^2+(INDEX(US_2_y,37)-INDEX(US_2_y,17))^2)</f>
        <v>6.080476954976478</v>
      </c>
      <c r="U52" s="9">
        <f>SQRT((INDEX(US_2_x,37)-INDEX(US_2_x,18))^2+(INDEX(US_2_y,37)-INDEX(US_2_y,18))^2)</f>
        <v>10.488207663848007</v>
      </c>
      <c r="V52" s="9">
        <f>SQRT((INDEX(US_2_x,37)-INDEX(US_2_x,19))^2+(INDEX(US_2_y,37)-INDEX(US_2_y,19))^2)</f>
        <v>1.3146862743635805</v>
      </c>
      <c r="W52" s="9">
        <f>SQRT((INDEX(US_2_x,37)-INDEX(US_2_x,20))^2+(INDEX(US_2_y,37)-INDEX(US_2_y,20))^2)</f>
        <v>21.298356744124657</v>
      </c>
      <c r="X52" s="9">
        <f>SQRT((INDEX(US_2_x,37)-INDEX(US_2_x,21))^2+(INDEX(US_2_y,37)-INDEX(US_2_y,21))^2)</f>
        <v>35.00702358099015</v>
      </c>
      <c r="Y52" s="9">
        <f>SQRT((INDEX(US_2_x,37)-INDEX(US_2_x,22))^2+(INDEX(US_2_y,37)-INDEX(US_2_y,22))^2)</f>
        <v>38.60588815193869</v>
      </c>
      <c r="Z52" s="9">
        <f>SQRT((INDEX(US_2_x,37)-INDEX(US_2_x,23))^2+(INDEX(US_2_y,37)-INDEX(US_2_y,23))^2)</f>
        <v>35.20161644015798</v>
      </c>
      <c r="AA52" s="9">
        <f>SQRT((INDEX(US_2_x,37)-INDEX(US_2_x,24))^2+(INDEX(US_2_y,37)-INDEX(US_2_y,24))^2)</f>
        <v>63.8392019060389</v>
      </c>
      <c r="AB52" s="9">
        <f>SQRT((INDEX(US_2_x,37)-INDEX(US_2_x,25))^2+(INDEX(US_2_y,37)-INDEX(US_2_y,25))^2)</f>
        <v>41.35644327066824</v>
      </c>
      <c r="AC52" s="9">
        <f>SQRT((INDEX(US_2_x,37)-INDEX(US_2_x,26))^2+(INDEX(US_2_y,37)-INDEX(US_2_y,26))^2)</f>
        <v>79.43959340278624</v>
      </c>
      <c r="AD52" s="9">
        <f>SQRT((INDEX(US_2_x,37)-INDEX(US_2_x,27))^2+(INDEX(US_2_y,37)-INDEX(US_2_y,27))^2)</f>
        <v>3.050000000000001</v>
      </c>
      <c r="AE52" s="9">
        <f>SQRT((INDEX(US_2_x,37)-INDEX(US_2_x,28))^2+(INDEX(US_2_y,37)-INDEX(US_2_y,28))^2)</f>
        <v>6.52561874460959</v>
      </c>
      <c r="AF52" s="9">
        <f>SQRT((INDEX(US_2_x,37)-INDEX(US_2_x,29))^2+(INDEX(US_2_y,37)-INDEX(US_2_y,29))^2)</f>
        <v>59.79978762504095</v>
      </c>
      <c r="AG52" s="9">
        <f>SQRT((INDEX(US_2_x,37)-INDEX(US_2_x,30))^2+(INDEX(US_2_y,37)-INDEX(US_2_y,30))^2)</f>
        <v>4.195485669144881</v>
      </c>
      <c r="AH52" s="9">
        <f>SQRT((INDEX(US_2_x,37)-INDEX(US_2_x,31))^2+(INDEX(US_2_y,37)-INDEX(US_2_y,31))^2)</f>
        <v>18.070763680597455</v>
      </c>
      <c r="AI52" s="9">
        <f>SQRT((INDEX(US_2_x,37)-INDEX(US_2_x,32))^2+(INDEX(US_2_y,37)-INDEX(US_2_y,32))^2)</f>
        <v>46.97593958613282</v>
      </c>
      <c r="AJ52" s="9">
        <f>SQRT((INDEX(US_2_x,37)-INDEX(US_2_x,33))^2+(INDEX(US_2_y,37)-INDEX(US_2_y,33))^2)</f>
        <v>19.51148379800983</v>
      </c>
      <c r="AK52" s="9">
        <f>SQRT((INDEX(US_2_x,37)-INDEX(US_2_x,34))^2+(INDEX(US_2_y,37)-INDEX(US_2_y,34))^2)</f>
        <v>46.35442265846917</v>
      </c>
      <c r="AL52" s="9">
        <f>SQRT((INDEX(US_2_x,37)-INDEX(US_2_x,35))^2+(INDEX(US_2_y,37)-INDEX(US_2_y,35))^2)</f>
        <v>80.96404263622216</v>
      </c>
      <c r="AM52" s="9">
        <f>SQRT((INDEX(US_2_x,37)-INDEX(US_2_x,36))^2+(INDEX(US_2_y,37)-INDEX(US_2_y,36))^2)</f>
        <v>9.643920364664988</v>
      </c>
      <c r="AN52" s="9" t="s">
        <v>30</v>
      </c>
      <c r="AO52" s="9">
        <f>SQRT((INDEX(US_2_x,37)-INDEX(US_2_x,38))^2+(INDEX(US_2_y,37)-INDEX(US_2_y,38))^2)</f>
        <v>23.79937184044991</v>
      </c>
      <c r="AP52" s="9">
        <f>SQRT((INDEX(US_2_x,37)-INDEX(US_2_x,39))^2+(INDEX(US_2_y,37)-INDEX(US_2_y,39))^2)</f>
        <v>46.281789075185934</v>
      </c>
      <c r="AQ52" s="9">
        <f>SQRT((INDEX(US_2_x,37)-INDEX(US_2_x,40))^2+(INDEX(US_2_y,37)-INDEX(US_2_y,40))^2)</f>
        <v>28.76574525368672</v>
      </c>
      <c r="AR52" s="9">
        <f>SQRT((INDEX(US_2_x,37)-INDEX(US_2_x,41))^2+(INDEX(US_2_y,37)-INDEX(US_2_y,41))^2)</f>
        <v>52.496432259726</v>
      </c>
      <c r="AS52" s="9">
        <f>SQRT((INDEX(US_2_x,37)-INDEX(US_2_x,42))^2+(INDEX(US_2_y,37)-INDEX(US_2_y,42))^2)</f>
        <v>65.82734386256217</v>
      </c>
      <c r="AT52" s="9">
        <f>SQRT((INDEX(US_2_x,37)-INDEX(US_2_x,43))^2+(INDEX(US_2_y,37)-INDEX(US_2_y,43))^2)</f>
        <v>5.698596318392808</v>
      </c>
      <c r="AU52" s="9">
        <f>SQRT((INDEX(US_2_x,37)-INDEX(US_2_x,44))^2+(INDEX(US_2_y,37)-INDEX(US_2_y,44))^2)</f>
        <v>13.794002319849017</v>
      </c>
      <c r="AV52" s="9">
        <f>SQRT((INDEX(US_2_x,37)-INDEX(US_2_x,45))^2+(INDEX(US_2_y,37)-INDEX(US_2_y,45))^2)</f>
        <v>79.85991798142545</v>
      </c>
      <c r="AW52" s="9">
        <f>SQRT((INDEX(US_2_x,37)-INDEX(US_2_x,46))^2+(INDEX(US_2_y,37)-INDEX(US_2_y,46))^2)</f>
        <v>18.65054690887107</v>
      </c>
      <c r="AX52" s="9">
        <f>SQRT((INDEX(US_2_x,37)-INDEX(US_2_x,47))^2+(INDEX(US_2_y,37)-INDEX(US_2_y,47))^2)</f>
        <v>29.03187558529418</v>
      </c>
      <c r="AY52" s="9">
        <f>SQRT((INDEX(US_2_x,37)-INDEX(US_2_x,48))^2+(INDEX(US_2_y,37)-INDEX(US_2_y,48))^2)</f>
        <v>54.31070796813461</v>
      </c>
      <c r="AZ52" s="9" t="s">
        <v>30</v>
      </c>
      <c r="BA52" s="34">
        <v>77.62</v>
      </c>
      <c r="BB52" s="34">
        <v>45.95</v>
      </c>
    </row>
    <row r="53" spans="3:54" ht="15" thickBot="1" thickTop="1">
      <c r="C53" s="4">
        <v>38</v>
      </c>
      <c r="D53" s="9">
        <f>SQRT((INDEX(US_2_x,38)-INDEX(US_2_x,1))^2+(INDEX(US_2_y,38)-INDEX(US_2_y,1))^2)</f>
        <v>10.289047574970192</v>
      </c>
      <c r="E53" s="9">
        <f>SQRT((INDEX(US_2_x,38)-INDEX(US_2_x,2))^2+(INDEX(US_2_y,38)-INDEX(US_2_y,2))^2)</f>
        <v>56.21924670430938</v>
      </c>
      <c r="F53" s="9">
        <f>SQRT((INDEX(US_2_x,38)-INDEX(US_2_x,3))^2+(INDEX(US_2_y,38)-INDEX(US_2_y,3))^2)</f>
        <v>20.345623608039155</v>
      </c>
      <c r="G53" s="9">
        <f>SQRT((INDEX(US_2_x,38)-INDEX(US_2_x,4))^2+(INDEX(US_2_y,38)-INDEX(US_2_y,4))^2)</f>
        <v>71.30391994834505</v>
      </c>
      <c r="H53" s="9">
        <f>SQRT((INDEX(US_2_x,38)-INDEX(US_2_x,5))^2+(INDEX(US_2_y,38)-INDEX(US_2_y,5))^2)</f>
        <v>43.515629376121865</v>
      </c>
      <c r="I53" s="9">
        <f>SQRT((INDEX(US_2_x,38)-INDEX(US_2_x,6))^2+(INDEX(US_2_y,38)-INDEX(US_2_y,6))^2)</f>
        <v>22.245116317969657</v>
      </c>
      <c r="J53" s="9">
        <f>SQRT((INDEX(US_2_x,38)-INDEX(US_2_x,7))^2+(INDEX(US_2_y,38)-INDEX(US_2_y,7))^2)</f>
        <v>14.830863090191341</v>
      </c>
      <c r="K53" s="9">
        <f>SQRT((INDEX(US_2_x,38)-INDEX(US_2_x,8))^2+(INDEX(US_2_y,38)-INDEX(US_2_y,8))^2)</f>
        <v>9.84228123963139</v>
      </c>
      <c r="L53" s="20">
        <f>SQRT((INDEX(US_2_x,38)-INDEX(US_2_x,9))^2+(INDEX(US_2_y,38)-INDEX(US_2_y,9))^2)</f>
        <v>6.106693049433546</v>
      </c>
      <c r="M53" s="9">
        <f>SQRT((INDEX(US_2_x,38)-INDEX(US_2_x,10))^2+(INDEX(US_2_y,38)-INDEX(US_2_y,10))^2)</f>
        <v>62.8302673876214</v>
      </c>
      <c r="N53" s="9">
        <f>SQRT((INDEX(US_2_x,38)-INDEX(US_2_x,11))^2+(INDEX(US_2_y,38)-INDEX(US_2_y,11))^2)</f>
        <v>19.577589228503086</v>
      </c>
      <c r="O53" s="9">
        <f>SQRT((INDEX(US_2_x,38)-INDEX(US_2_x,12))^2+(INDEX(US_2_y,38)-INDEX(US_2_y,12))^2)</f>
        <v>15.375467472568111</v>
      </c>
      <c r="P53" s="9">
        <f>SQRT((INDEX(US_2_x,38)-INDEX(US_2_x,13))^2+(INDEX(US_2_y,38)-INDEX(US_2_y,13))^2)</f>
        <v>27.202014631273176</v>
      </c>
      <c r="Q53" s="9">
        <f>SQRT((INDEX(US_2_x,38)-INDEX(US_2_x,14))^2+(INDEX(US_2_y,38)-INDEX(US_2_y,14))^2)</f>
        <v>27.878452252591075</v>
      </c>
      <c r="R53" s="9">
        <f>SQRT((INDEX(US_2_x,38)-INDEX(US_2_x,15))^2+(INDEX(US_2_y,38)-INDEX(US_2_y,15))^2)</f>
        <v>11.33466364741363</v>
      </c>
      <c r="S53" s="9">
        <f>SQRT((INDEX(US_2_x,38)-INDEX(US_2_x,16))^2+(INDEX(US_2_y,38)-INDEX(US_2_y,16))^2)</f>
        <v>20.32695255073913</v>
      </c>
      <c r="T53" s="9">
        <f>SQRT((INDEX(US_2_x,38)-INDEX(US_2_x,17))^2+(INDEX(US_2_y,38)-INDEX(US_2_y,17))^2)</f>
        <v>29.48145349198374</v>
      </c>
      <c r="U53" s="9">
        <f>SQRT((INDEX(US_2_x,38)-INDEX(US_2_x,18))^2+(INDEX(US_2_y,38)-INDEX(US_2_y,18))^2)</f>
        <v>13.47818978943389</v>
      </c>
      <c r="V53" s="9">
        <f>SQRT((INDEX(US_2_x,38)-INDEX(US_2_x,19))^2+(INDEX(US_2_y,38)-INDEX(US_2_y,19))^2)</f>
        <v>25.02207225631002</v>
      </c>
      <c r="W53" s="9">
        <f>SQRT((INDEX(US_2_x,38)-INDEX(US_2_x,20))^2+(INDEX(US_2_y,38)-INDEX(US_2_y,20))^2)</f>
        <v>19.90113815840692</v>
      </c>
      <c r="X53" s="9">
        <f>SQRT((INDEX(US_2_x,38)-INDEX(US_2_x,21))^2+(INDEX(US_2_y,38)-INDEX(US_2_y,21))^2)</f>
        <v>31.189591212454197</v>
      </c>
      <c r="Y53" s="9">
        <f>SQRT((INDEX(US_2_x,38)-INDEX(US_2_x,22))^2+(INDEX(US_2_y,38)-INDEX(US_2_y,22))^2)</f>
        <v>17.183238926349134</v>
      </c>
      <c r="Z53" s="9">
        <f>SQRT((INDEX(US_2_x,38)-INDEX(US_2_x,23))^2+(INDEX(US_2_y,38)-INDEX(US_2_y,23))^2)</f>
        <v>21.93876249928423</v>
      </c>
      <c r="AA53" s="9">
        <f>SQRT((INDEX(US_2_x,38)-INDEX(US_2_x,24))^2+(INDEX(US_2_y,38)-INDEX(US_2_y,24))^2)</f>
        <v>57.86648943905273</v>
      </c>
      <c r="AB53" s="9">
        <f>SQRT((INDEX(US_2_x,38)-INDEX(US_2_x,25))^2+(INDEX(US_2_y,38)-INDEX(US_2_y,25))^2)</f>
        <v>30.859859040507622</v>
      </c>
      <c r="AC53" s="9">
        <f>SQRT((INDEX(US_2_x,38)-INDEX(US_2_x,26))^2+(INDEX(US_2_y,38)-INDEX(US_2_y,26))^2)</f>
        <v>68.30134186090343</v>
      </c>
      <c r="AD53" s="9">
        <f>SQRT((INDEX(US_2_x,38)-INDEX(US_2_x,27))^2+(INDEX(US_2_y,38)-INDEX(US_2_y,27))^2)</f>
        <v>25.801538713805417</v>
      </c>
      <c r="AE53" s="9">
        <f>SQRT((INDEX(US_2_x,38)-INDEX(US_2_x,28))^2+(INDEX(US_2_y,38)-INDEX(US_2_y,28))^2)</f>
        <v>17.43378903164771</v>
      </c>
      <c r="AF53" s="9">
        <f>SQRT((INDEX(US_2_x,38)-INDEX(US_2_x,29))^2+(INDEX(US_2_y,38)-INDEX(US_2_y,29))^2)</f>
        <v>44.69940603632223</v>
      </c>
      <c r="AG53" s="9">
        <f>SQRT((INDEX(US_2_x,38)-INDEX(US_2_x,30))^2+(INDEX(US_2_y,38)-INDEX(US_2_y,30))^2)</f>
        <v>22.623536416749705</v>
      </c>
      <c r="AH53" s="9">
        <f>SQRT((INDEX(US_2_x,38)-INDEX(US_2_x,31))^2+(INDEX(US_2_y,38)-INDEX(US_2_y,31))^2)</f>
        <v>5.7763137033925025</v>
      </c>
      <c r="AI53" s="9">
        <f>SQRT((INDEX(US_2_x,38)-INDEX(US_2_x,32))^2+(INDEX(US_2_y,38)-INDEX(US_2_y,32))^2)</f>
        <v>42.80575895834578</v>
      </c>
      <c r="AJ53" s="9">
        <f>SQRT((INDEX(US_2_x,38)-INDEX(US_2_x,33))^2+(INDEX(US_2_y,38)-INDEX(US_2_y,33))^2)</f>
        <v>13.402227426812303</v>
      </c>
      <c r="AK53" s="9">
        <f>SQRT((INDEX(US_2_x,38)-INDEX(US_2_x,34))^2+(INDEX(US_2_y,38)-INDEX(US_2_y,34))^2)</f>
        <v>29.74016139835156</v>
      </c>
      <c r="AL53" s="9">
        <f>SQRT((INDEX(US_2_x,38)-INDEX(US_2_x,35))^2+(INDEX(US_2_y,38)-INDEX(US_2_y,35))^2)</f>
        <v>73.69053195628322</v>
      </c>
      <c r="AM53" s="9">
        <f>SQRT((INDEX(US_2_x,38)-INDEX(US_2_x,36))^2+(INDEX(US_2_y,38)-INDEX(US_2_y,36))^2)</f>
        <v>15.417396018783455</v>
      </c>
      <c r="AN53" s="9">
        <f>SQRT((INDEX(US_2_x,38)-INDEX(US_2_x,37))^2+(INDEX(US_2_y,38)-INDEX(US_2_y,37))^2)</f>
        <v>23.79937184044991</v>
      </c>
      <c r="AO53" s="9" t="s">
        <v>30</v>
      </c>
      <c r="AP53" s="9">
        <f>SQRT((INDEX(US_2_x,38)-INDEX(US_2_x,39))^2+(INDEX(US_2_y,38)-INDEX(US_2_y,39))^2)</f>
        <v>39.51542610171374</v>
      </c>
      <c r="AQ53" s="9">
        <f>SQRT((INDEX(US_2_x,38)-INDEX(US_2_x,40))^2+(INDEX(US_2_y,38)-INDEX(US_2_y,40))^2)</f>
        <v>11.262868195979213</v>
      </c>
      <c r="AR53" s="9">
        <f>SQRT((INDEX(US_2_x,38)-INDEX(US_2_x,41))^2+(INDEX(US_2_y,38)-INDEX(US_2_y,41))^2)</f>
        <v>31.96946199109394</v>
      </c>
      <c r="AS53" s="9">
        <f>SQRT((INDEX(US_2_x,38)-INDEX(US_2_x,42))^2+(INDEX(US_2_y,38)-INDEX(US_2_y,42))^2)</f>
        <v>55.174451515171405</v>
      </c>
      <c r="AT53" s="9">
        <f>SQRT((INDEX(US_2_x,38)-INDEX(US_2_x,43))^2+(INDEX(US_2_y,38)-INDEX(US_2_y,43))^2)</f>
        <v>26.57361285184986</v>
      </c>
      <c r="AU53" s="9">
        <f>SQRT((INDEX(US_2_x,38)-INDEX(US_2_x,44))^2+(INDEX(US_2_y,38)-INDEX(US_2_y,44))^2)</f>
        <v>10.018552789699717</v>
      </c>
      <c r="AV53" s="9">
        <f>SQRT((INDEX(US_2_x,38)-INDEX(US_2_x,45))^2+(INDEX(US_2_y,38)-INDEX(US_2_y,45))^2)</f>
        <v>73.9462967294509</v>
      </c>
      <c r="AW53" s="9">
        <f>SQRT((INDEX(US_2_x,38)-INDEX(US_2_x,46))^2+(INDEX(US_2_y,38)-INDEX(US_2_y,46))^2)</f>
        <v>9.503820284496129</v>
      </c>
      <c r="AX53" s="9">
        <f>SQRT((INDEX(US_2_x,38)-INDEX(US_2_x,47))^2+(INDEX(US_2_y,38)-INDEX(US_2_y,47))^2)</f>
        <v>24.28794968703616</v>
      </c>
      <c r="AY53" s="9">
        <f>SQRT((INDEX(US_2_x,38)-INDEX(US_2_x,48))^2+(INDEX(US_2_y,38)-INDEX(US_2_y,48))^2)</f>
        <v>43.794251905929386</v>
      </c>
      <c r="AZ53" s="9" t="s">
        <v>30</v>
      </c>
      <c r="BA53" s="34">
        <v>73.92</v>
      </c>
      <c r="BB53" s="34">
        <v>22.44</v>
      </c>
    </row>
    <row r="54" spans="3:54" ht="15" thickBot="1" thickTop="1">
      <c r="C54" s="4">
        <v>39</v>
      </c>
      <c r="D54" s="9">
        <f>SQRT((INDEX(US_2_x,39)-INDEX(US_2_x,1))^2+(INDEX(US_2_y,39)-INDEX(US_2_y,1))^2)</f>
        <v>35.29288313527247</v>
      </c>
      <c r="E54" s="9">
        <f>SQRT((INDEX(US_2_x,39)-INDEX(US_2_x,2))^2+(INDEX(US_2_y,39)-INDEX(US_2_y,2))^2)</f>
        <v>30.84114459613975</v>
      </c>
      <c r="F54" s="9">
        <f>SQRT((INDEX(US_2_x,39)-INDEX(US_2_x,3))^2+(INDEX(US_2_y,39)-INDEX(US_2_y,3))^2)</f>
        <v>24.81963134295108</v>
      </c>
      <c r="G54" s="9">
        <f>SQRT((INDEX(US_2_x,39)-INDEX(US_2_x,4))^2+(INDEX(US_2_y,39)-INDEX(US_2_y,4))^2)</f>
        <v>36.68382886232025</v>
      </c>
      <c r="H54" s="9">
        <f>SQRT((INDEX(US_2_x,39)-INDEX(US_2_x,5))^2+(INDEX(US_2_y,39)-INDEX(US_2_y,5))^2)</f>
        <v>12.513308914911356</v>
      </c>
      <c r="I54" s="9">
        <f>SQRT((INDEX(US_2_x,39)-INDEX(US_2_x,6))^2+(INDEX(US_2_y,39)-INDEX(US_2_y,6))^2)</f>
        <v>44.34074537037012</v>
      </c>
      <c r="J54" s="9">
        <f>SQRT((INDEX(US_2_x,39)-INDEX(US_2_x,7))^2+(INDEX(US_2_y,39)-INDEX(US_2_y,7))^2)</f>
        <v>41.840996642049525</v>
      </c>
      <c r="K54" s="9">
        <f>SQRT((INDEX(US_2_x,39)-INDEX(US_2_x,8))^2+(INDEX(US_2_y,39)-INDEX(US_2_y,8))^2)</f>
        <v>40.90560108347022</v>
      </c>
      <c r="L54" s="9">
        <f>SQRT((INDEX(US_2_x,39)-INDEX(US_2_x,9))^2+(INDEX(US_2_y,39)-INDEX(US_2_y,9))^2)</f>
        <v>35.42108411666701</v>
      </c>
      <c r="M54" s="9">
        <f>SQRT((INDEX(US_2_x,39)-INDEX(US_2_x,10))^2+(INDEX(US_2_y,39)-INDEX(US_2_y,10))^2)</f>
        <v>24.96954945528654</v>
      </c>
      <c r="N54" s="9">
        <f>SQRT((INDEX(US_2_x,39)-INDEX(US_2_x,11))^2+(INDEX(US_2_y,39)-INDEX(US_2_y,11))^2)</f>
        <v>19.96493175545561</v>
      </c>
      <c r="O54" s="9">
        <f>SQRT((INDEX(US_2_x,39)-INDEX(US_2_x,12))^2+(INDEX(US_2_y,39)-INDEX(US_2_y,12))^2)</f>
        <v>25.053863973447285</v>
      </c>
      <c r="P54" s="9">
        <f>SQRT((INDEX(US_2_x,39)-INDEX(US_2_x,13))^2+(INDEX(US_2_y,39)-INDEX(US_2_y,13))^2)</f>
        <v>12.317909725274006</v>
      </c>
      <c r="Q54" s="9">
        <f>SQRT((INDEX(US_2_x,39)-INDEX(US_2_x,14))^2+(INDEX(US_2_y,39)-INDEX(US_2_y,14))^2)</f>
        <v>13.794274174453683</v>
      </c>
      <c r="R54" s="9">
        <f>SQRT((INDEX(US_2_x,39)-INDEX(US_2_x,15))^2+(INDEX(US_2_y,39)-INDEX(US_2_y,15))^2)</f>
        <v>28.66720251437171</v>
      </c>
      <c r="S54" s="9">
        <f>SQRT((INDEX(US_2_x,39)-INDEX(US_2_x,16))^2+(INDEX(US_2_y,39)-INDEX(US_2_y,16))^2)</f>
        <v>33.97900675417102</v>
      </c>
      <c r="T54" s="9">
        <f>SQRT((INDEX(US_2_x,39)-INDEX(US_2_x,17))^2+(INDEX(US_2_y,39)-INDEX(US_2_y,17))^2)</f>
        <v>47.516475037611954</v>
      </c>
      <c r="U54" s="9">
        <f>SQRT((INDEX(US_2_x,39)-INDEX(US_2_x,18))^2+(INDEX(US_2_y,39)-INDEX(US_2_y,18))^2)</f>
        <v>40.501364174555896</v>
      </c>
      <c r="V54" s="9">
        <f>SQRT((INDEX(US_2_x,39)-INDEX(US_2_x,19))^2+(INDEX(US_2_y,39)-INDEX(US_2_y,19))^2)</f>
        <v>46.511009449376594</v>
      </c>
      <c r="W54" s="9">
        <f>SQRT((INDEX(US_2_x,39)-INDEX(US_2_x,20))^2+(INDEX(US_2_y,39)-INDEX(US_2_y,20))^2)</f>
        <v>25.244563771235974</v>
      </c>
      <c r="X54" s="9">
        <f>SQRT((INDEX(US_2_x,39)-INDEX(US_2_x,21))^2+(INDEX(US_2_y,39)-INDEX(US_2_y,21))^2)</f>
        <v>11.356060056199064</v>
      </c>
      <c r="Y54" s="9">
        <f>SQRT((INDEX(US_2_x,39)-INDEX(US_2_x,22))^2+(INDEX(US_2_y,39)-INDEX(US_2_y,22))^2)</f>
        <v>31.31078089093275</v>
      </c>
      <c r="Z54" s="9">
        <f>SQRT((INDEX(US_2_x,39)-INDEX(US_2_x,23))^2+(INDEX(US_2_y,39)-INDEX(US_2_y,23))^2)</f>
        <v>18.329849972108335</v>
      </c>
      <c r="AA54" s="9">
        <f>SQRT((INDEX(US_2_x,39)-INDEX(US_2_x,24))^2+(INDEX(US_2_y,39)-INDEX(US_2_y,24))^2)</f>
        <v>18.51108046549418</v>
      </c>
      <c r="AB54" s="9">
        <f>SQRT((INDEX(US_2_x,39)-INDEX(US_2_x,25))^2+(INDEX(US_2_y,39)-INDEX(US_2_y,25))^2)</f>
        <v>9.666322982396148</v>
      </c>
      <c r="AC54" s="9">
        <f>SQRT((INDEX(US_2_x,39)-INDEX(US_2_x,26))^2+(INDEX(US_2_y,39)-INDEX(US_2_y,26))^2)</f>
        <v>33.4870273389562</v>
      </c>
      <c r="AD54" s="9">
        <f>SQRT((INDEX(US_2_x,39)-INDEX(US_2_x,27))^2+(INDEX(US_2_y,39)-INDEX(US_2_y,27))^2)</f>
        <v>45.31350902324824</v>
      </c>
      <c r="AE54" s="9">
        <f>SQRT((INDEX(US_2_x,39)-INDEX(US_2_x,28))^2+(INDEX(US_2_y,39)-INDEX(US_2_y,28))^2)</f>
        <v>42.173869872232494</v>
      </c>
      <c r="AF54" s="9">
        <f>SQRT((INDEX(US_2_x,39)-INDEX(US_2_x,29))^2+(INDEX(US_2_y,39)-INDEX(US_2_y,29))^2)</f>
        <v>20.95609219296384</v>
      </c>
      <c r="AG54" s="9">
        <f>SQRT((INDEX(US_2_x,39)-INDEX(US_2_x,30))^2+(INDEX(US_2_y,39)-INDEX(US_2_y,30))^2)</f>
        <v>42.15892906609464</v>
      </c>
      <c r="AH54" s="9">
        <f>SQRT((INDEX(US_2_x,39)-INDEX(US_2_x,31))^2+(INDEX(US_2_y,39)-INDEX(US_2_y,31))^2)</f>
        <v>40.61096526801598</v>
      </c>
      <c r="AI54" s="9">
        <f>SQRT((INDEX(US_2_x,39)-INDEX(US_2_x,32))^2+(INDEX(US_2_y,39)-INDEX(US_2_y,32))^2)</f>
        <v>5.326321432283259</v>
      </c>
      <c r="AJ54" s="9">
        <f>SQRT((INDEX(US_2_x,39)-INDEX(US_2_x,33))^2+(INDEX(US_2_y,39)-INDEX(US_2_y,33))^2)</f>
        <v>29.62043213729334</v>
      </c>
      <c r="AK54" s="9">
        <f>SQRT((INDEX(US_2_x,39)-INDEX(US_2_x,34))^2+(INDEX(US_2_y,39)-INDEX(US_2_y,34))^2)</f>
        <v>19.807920133118465</v>
      </c>
      <c r="AL54" s="9">
        <f>SQRT((INDEX(US_2_x,39)-INDEX(US_2_x,35))^2+(INDEX(US_2_y,39)-INDEX(US_2_y,35))^2)</f>
        <v>35.148669960611606</v>
      </c>
      <c r="AM54" s="9">
        <f>SQRT((INDEX(US_2_x,39)-INDEX(US_2_x,36))^2+(INDEX(US_2_y,39)-INDEX(US_2_y,36))^2)</f>
        <v>38.82035033329813</v>
      </c>
      <c r="AN54" s="9">
        <f>SQRT((INDEX(US_2_x,39)-INDEX(US_2_x,37))^2+(INDEX(US_2_y,39)-INDEX(US_2_y,37))^2)</f>
        <v>46.281789075185934</v>
      </c>
      <c r="AO54" s="9">
        <f>SQRT((INDEX(US_2_x,39)-INDEX(US_2_x,38))^2+(INDEX(US_2_y,39)-INDEX(US_2_y,38))^2)</f>
        <v>39.51542610171374</v>
      </c>
      <c r="AP54" s="9" t="s">
        <v>30</v>
      </c>
      <c r="AQ54" s="9">
        <f>SQRT((INDEX(US_2_x,39)-INDEX(US_2_x,40))^2+(INDEX(US_2_y,39)-INDEX(US_2_y,40))^2)</f>
        <v>28.721081107785615</v>
      </c>
      <c r="AR54" s="9">
        <f>SQRT((INDEX(US_2_x,39)-INDEX(US_2_x,41))^2+(INDEX(US_2_y,39)-INDEX(US_2_y,41))^2)</f>
        <v>30.79565229054257</v>
      </c>
      <c r="AS54" s="9">
        <f>SQRT((INDEX(US_2_x,39)-INDEX(US_2_x,42))^2+(INDEX(US_2_y,39)-INDEX(US_2_y,42))^2)</f>
        <v>20.11522806234123</v>
      </c>
      <c r="AT54" s="9">
        <f>SQRT((INDEX(US_2_x,39)-INDEX(US_2_x,43))^2+(INDEX(US_2_y,39)-INDEX(US_2_y,43))^2)</f>
        <v>43.237155318082614</v>
      </c>
      <c r="AU54" s="9">
        <f>SQRT((INDEX(US_2_x,39)-INDEX(US_2_x,44))^2+(INDEX(US_2_y,39)-INDEX(US_2_y,44))^2)</f>
        <v>40.45828098177183</v>
      </c>
      <c r="AV54" s="9">
        <f>SQRT((INDEX(US_2_x,39)-INDEX(US_2_x,45))^2+(INDEX(US_2_y,39)-INDEX(US_2_y,45))^2)</f>
        <v>34.77367538814383</v>
      </c>
      <c r="AW54" s="9">
        <f>SQRT((INDEX(US_2_x,39)-INDEX(US_2_x,46))^2+(INDEX(US_2_y,39)-INDEX(US_2_y,46))^2)</f>
        <v>33.27044484223196</v>
      </c>
      <c r="AX54" s="9">
        <f>SQRT((INDEX(US_2_x,39)-INDEX(US_2_x,47))^2+(INDEX(US_2_y,39)-INDEX(US_2_y,47))^2)</f>
        <v>17.542639482130387</v>
      </c>
      <c r="AY54" s="20">
        <f>SQRT((INDEX(US_2_x,39)-INDEX(US_2_x,48))^2+(INDEX(US_2_y,39)-INDEX(US_2_y,48))^2)</f>
        <v>9.996449369651206</v>
      </c>
      <c r="AZ54" s="9" t="s">
        <v>30</v>
      </c>
      <c r="BA54" s="34">
        <v>34.84</v>
      </c>
      <c r="BB54" s="34">
        <v>28.29</v>
      </c>
    </row>
    <row r="55" spans="3:54" ht="15" thickBot="1" thickTop="1">
      <c r="C55" s="4">
        <v>40</v>
      </c>
      <c r="D55" s="9">
        <f>SQRT((INDEX(US_2_x,40)-INDEX(US_2_x,1))^2+(INDEX(US_2_y,40)-INDEX(US_2_y,1))^2)</f>
        <v>8.243136538963798</v>
      </c>
      <c r="E55" s="9">
        <f>SQRT((INDEX(US_2_x,40)-INDEX(US_2_x,2))^2+(INDEX(US_2_y,40)-INDEX(US_2_y,2))^2)</f>
        <v>45.630109576901084</v>
      </c>
      <c r="F55" s="9">
        <f>SQRT((INDEX(US_2_x,40)-INDEX(US_2_x,3))^2+(INDEX(US_2_y,40)-INDEX(US_2_y,3))^2)</f>
        <v>10.269381675641434</v>
      </c>
      <c r="G55" s="9">
        <f>SQRT((INDEX(US_2_x,40)-INDEX(US_2_x,4))^2+(INDEX(US_2_y,40)-INDEX(US_2_y,4))^2)</f>
        <v>60.109347026897574</v>
      </c>
      <c r="H55" s="9">
        <f>SQRT((INDEX(US_2_x,40)-INDEX(US_2_x,5))^2+(INDEX(US_2_y,40)-INDEX(US_2_y,5))^2)</f>
        <v>32.26577443669995</v>
      </c>
      <c r="I55" s="9">
        <f>SQRT((INDEX(US_2_x,40)-INDEX(US_2_x,6))^2+(INDEX(US_2_y,40)-INDEX(US_2_y,6))^2)</f>
        <v>26.802794630411206</v>
      </c>
      <c r="J55" s="9">
        <f>SQRT((INDEX(US_2_x,40)-INDEX(US_2_x,7))^2+(INDEX(US_2_y,40)-INDEX(US_2_y,7))^2)</f>
        <v>20.481125457357074</v>
      </c>
      <c r="K55" s="9">
        <f>SQRT((INDEX(US_2_x,40)-INDEX(US_2_x,8))^2+(INDEX(US_2_y,40)-INDEX(US_2_y,8))^2)</f>
        <v>13.189863532273566</v>
      </c>
      <c r="L55" s="9">
        <f>SQRT((INDEX(US_2_x,40)-INDEX(US_2_x,9))^2+(INDEX(US_2_y,40)-INDEX(US_2_y,9))^2)</f>
        <v>6.750029629564602</v>
      </c>
      <c r="M55" s="9">
        <f>SQRT((INDEX(US_2_x,40)-INDEX(US_2_x,10))^2+(INDEX(US_2_y,40)-INDEX(US_2_y,10))^2)</f>
        <v>51.597167557919306</v>
      </c>
      <c r="N55" s="9">
        <f>SQRT((INDEX(US_2_x,40)-INDEX(US_2_x,11))^2+(INDEX(US_2_y,40)-INDEX(US_2_y,11))^2)</f>
        <v>9.30940384772301</v>
      </c>
      <c r="O55" s="9">
        <f>SQRT((INDEX(US_2_x,40)-INDEX(US_2_x,12))^2+(INDEX(US_2_y,40)-INDEX(US_2_y,12))^2)</f>
        <v>7.900430368024263</v>
      </c>
      <c r="P55" s="9">
        <f>SQRT((INDEX(US_2_x,40)-INDEX(US_2_x,13))^2+(INDEX(US_2_y,40)-INDEX(US_2_y,13))^2)</f>
        <v>16.55217810440668</v>
      </c>
      <c r="Q55" s="9">
        <f>SQRT((INDEX(US_2_x,40)-INDEX(US_2_x,14))^2+(INDEX(US_2_y,40)-INDEX(US_2_y,14))^2)</f>
        <v>16.620111311299937</v>
      </c>
      <c r="R55" s="20">
        <f>SQRT((INDEX(US_2_x,40)-INDEX(US_2_x,15))^2+(INDEX(US_2_y,40)-INDEX(US_2_y,15))^2)</f>
        <v>5.53244972864643</v>
      </c>
      <c r="S55" s="9">
        <f>SQRT((INDEX(US_2_x,40)-INDEX(US_2_x,16))^2+(INDEX(US_2_y,40)-INDEX(US_2_y,16))^2)</f>
        <v>14.751447386612611</v>
      </c>
      <c r="T55" s="9">
        <f>SQRT((INDEX(US_2_x,40)-INDEX(US_2_x,17))^2+(INDEX(US_2_y,40)-INDEX(US_2_y,17))^2)</f>
        <v>33.30465583067929</v>
      </c>
      <c r="U55" s="9">
        <f>SQRT((INDEX(US_2_x,40)-INDEX(US_2_x,18))^2+(INDEX(US_2_y,40)-INDEX(US_2_y,18))^2)</f>
        <v>18.802941259281752</v>
      </c>
      <c r="V55" s="9">
        <f>SQRT((INDEX(US_2_x,40)-INDEX(US_2_x,19))^2+(INDEX(US_2_y,40)-INDEX(US_2_y,19))^2)</f>
        <v>29.719126837779058</v>
      </c>
      <c r="W55" s="9">
        <f>SQRT((INDEX(US_2_x,40)-INDEX(US_2_x,20))^2+(INDEX(US_2_y,40)-INDEX(US_2_y,20))^2)</f>
        <v>14.734710719929318</v>
      </c>
      <c r="X55" s="9">
        <f>SQRT((INDEX(US_2_x,40)-INDEX(US_2_x,21))^2+(INDEX(US_2_y,40)-INDEX(US_2_y,21))^2)</f>
        <v>21.72487054046583</v>
      </c>
      <c r="Y55" s="9">
        <f>SQRT((INDEX(US_2_x,40)-INDEX(US_2_x,22))^2+(INDEX(US_2_y,40)-INDEX(US_2_y,22))^2)</f>
        <v>10.390019249260323</v>
      </c>
      <c r="Z55" s="9">
        <f>SQRT((INDEX(US_2_x,40)-INDEX(US_2_x,23))^2+(INDEX(US_2_y,40)-INDEX(US_2_y,23))^2)</f>
        <v>10.730298225119373</v>
      </c>
      <c r="AA55" s="9">
        <f>SQRT((INDEX(US_2_x,40)-INDEX(US_2_x,24))^2+(INDEX(US_2_y,40)-INDEX(US_2_y,24))^2)</f>
        <v>46.86717401337529</v>
      </c>
      <c r="AB55" s="9">
        <f>SQRT((INDEX(US_2_x,40)-INDEX(US_2_x,25))^2+(INDEX(US_2_y,40)-INDEX(US_2_y,25))^2)</f>
        <v>19.72882409065477</v>
      </c>
      <c r="AC55" s="9">
        <f>SQRT((INDEX(US_2_x,40)-INDEX(US_2_x,26))^2+(INDEX(US_2_y,40)-INDEX(US_2_y,26))^2)</f>
        <v>57.08752665863183</v>
      </c>
      <c r="AD55" s="9">
        <f>SQRT((INDEX(US_2_x,40)-INDEX(US_2_x,27))^2+(INDEX(US_2_y,40)-INDEX(US_2_y,27))^2)</f>
        <v>29.75317125954811</v>
      </c>
      <c r="AE55" s="9">
        <f>SQRT((INDEX(US_2_x,40)-INDEX(US_2_x,28))^2+(INDEX(US_2_y,40)-INDEX(US_2_y,28))^2)</f>
        <v>22.40673113151492</v>
      </c>
      <c r="AF55" s="9">
        <f>SQRT((INDEX(US_2_x,40)-INDEX(US_2_x,29))^2+(INDEX(US_2_y,40)-INDEX(US_2_y,29))^2)</f>
        <v>33.873997402137235</v>
      </c>
      <c r="AG55" s="9">
        <f>SQRT((INDEX(US_2_x,40)-INDEX(US_2_x,30))^2+(INDEX(US_2_y,40)-INDEX(US_2_y,30))^2)</f>
        <v>26.05801604113406</v>
      </c>
      <c r="AH55" s="9">
        <f>SQRT((INDEX(US_2_x,40)-INDEX(US_2_x,31))^2+(INDEX(US_2_y,40)-INDEX(US_2_y,31))^2)</f>
        <v>14.375785195946692</v>
      </c>
      <c r="AI55" s="9">
        <f>SQRT((INDEX(US_2_x,40)-INDEX(US_2_x,32))^2+(INDEX(US_2_y,40)-INDEX(US_2_y,32))^2)</f>
        <v>32.44314411397268</v>
      </c>
      <c r="AJ55" s="9">
        <f>SQRT((INDEX(US_2_x,40)-INDEX(US_2_x,33))^2+(INDEX(US_2_y,40)-INDEX(US_2_y,33))^2)</f>
        <v>10.495089327871392</v>
      </c>
      <c r="AK55" s="9">
        <f>SQRT((INDEX(US_2_x,40)-INDEX(US_2_x,34))^2+(INDEX(US_2_y,40)-INDEX(US_2_y,34))^2)</f>
        <v>19.088053855749678</v>
      </c>
      <c r="AL55" s="9">
        <f>SQRT((INDEX(US_2_x,40)-INDEX(US_2_x,35))^2+(INDEX(US_2_y,40)-INDEX(US_2_y,35))^2)</f>
        <v>62.48525025956126</v>
      </c>
      <c r="AM55" s="9">
        <f>SQRT((INDEX(US_2_x,40)-INDEX(US_2_x,36))^2+(INDEX(US_2_y,40)-INDEX(US_2_y,36))^2)</f>
        <v>19.12397709682795</v>
      </c>
      <c r="AN55" s="9">
        <f>SQRT((INDEX(US_2_x,40)-INDEX(US_2_x,37))^2+(INDEX(US_2_y,40)-INDEX(US_2_y,37))^2)</f>
        <v>28.76574525368672</v>
      </c>
      <c r="AO55" s="9">
        <f>SQRT((INDEX(US_2_x,40)-INDEX(US_2_x,38))^2+(INDEX(US_2_y,40)-INDEX(US_2_y,38))^2)</f>
        <v>11.262868195979213</v>
      </c>
      <c r="AP55" s="9">
        <f>SQRT((INDEX(US_2_x,40)-INDEX(US_2_x,39))^2+(INDEX(US_2_y,40)-INDEX(US_2_y,39))^2)</f>
        <v>28.721081107785615</v>
      </c>
      <c r="AQ55" s="9" t="s">
        <v>30</v>
      </c>
      <c r="AR55" s="9">
        <f>SQRT((INDEX(US_2_x,40)-INDEX(US_2_x,41))^2+(INDEX(US_2_y,40)-INDEX(US_2_y,41))^2)</f>
        <v>23.73567146722418</v>
      </c>
      <c r="AS55" s="9">
        <f>SQRT((INDEX(US_2_x,40)-INDEX(US_2_x,42))^2+(INDEX(US_2_y,40)-INDEX(US_2_y,42))^2)</f>
        <v>43.91626236373036</v>
      </c>
      <c r="AT55" s="9">
        <f>SQRT((INDEX(US_2_x,40)-INDEX(US_2_x,43))^2+(INDEX(US_2_y,40)-INDEX(US_2_y,43))^2)</f>
        <v>29.424100665950693</v>
      </c>
      <c r="AU55" s="9">
        <f>SQRT((INDEX(US_2_x,40)-INDEX(US_2_x,44))^2+(INDEX(US_2_y,40)-INDEX(US_2_y,44))^2)</f>
        <v>16.587525433288715</v>
      </c>
      <c r="AV55" s="9">
        <f>SQRT((INDEX(US_2_x,40)-INDEX(US_2_x,45))^2+(INDEX(US_2_y,40)-INDEX(US_2_y,45))^2)</f>
        <v>62.843298767649046</v>
      </c>
      <c r="AW55" s="9">
        <f>SQRT((INDEX(US_2_x,40)-INDEX(US_2_x,46))^2+(INDEX(US_2_y,40)-INDEX(US_2_y,46))^2)</f>
        <v>10.116619988909333</v>
      </c>
      <c r="AX55" s="9">
        <f>SQRT((INDEX(US_2_x,40)-INDEX(US_2_x,47))^2+(INDEX(US_2_y,40)-INDEX(US_2_y,47))^2)</f>
        <v>15.622179745477258</v>
      </c>
      <c r="AY55" s="9">
        <f>SQRT((INDEX(US_2_x,40)-INDEX(US_2_x,48))^2+(INDEX(US_2_y,40)-INDEX(US_2_y,48))^2)</f>
        <v>32.53729091365783</v>
      </c>
      <c r="AZ55" s="9" t="s">
        <v>30</v>
      </c>
      <c r="BA55" s="34">
        <v>62.71</v>
      </c>
      <c r="BB55" s="34">
        <v>21.35</v>
      </c>
    </row>
    <row r="56" spans="3:54" ht="15" thickBot="1" thickTop="1">
      <c r="C56" s="4">
        <v>41</v>
      </c>
      <c r="D56" s="9">
        <f>SQRT((INDEX(US_2_x,41)-INDEX(US_2_x,1))^2+(INDEX(US_2_y,41)-INDEX(US_2_y,1))^2)</f>
        <v>21.870002286236737</v>
      </c>
      <c r="E56" s="9">
        <f>SQRT((INDEX(US_2_x,41)-INDEX(US_2_x,2))^2+(INDEX(US_2_y,41)-INDEX(US_2_y,2))^2)</f>
        <v>27.550687831703954</v>
      </c>
      <c r="F56" s="9">
        <f>SQRT((INDEX(US_2_x,41)-INDEX(US_2_x,3))^2+(INDEX(US_2_y,41)-INDEX(US_2_y,3))^2)</f>
        <v>13.94876697059636</v>
      </c>
      <c r="G56" s="9">
        <f>SQRT((INDEX(US_2_x,41)-INDEX(US_2_x,4))^2+(INDEX(US_2_y,41)-INDEX(US_2_y,4))^2)</f>
        <v>46.37289833512674</v>
      </c>
      <c r="H56" s="9">
        <f>SQRT((INDEX(US_2_x,41)-INDEX(US_2_x,5))^2+(INDEX(US_2_y,41)-INDEX(US_2_y,5))^2)</f>
        <v>24.25577250882767</v>
      </c>
      <c r="I56" s="9">
        <f>SQRT((INDEX(US_2_x,41)-INDEX(US_2_x,6))^2+(INDEX(US_2_y,41)-INDEX(US_2_y,6))^2)</f>
        <v>50.52252270027695</v>
      </c>
      <c r="J56" s="9">
        <f>SQRT((INDEX(US_2_x,41)-INDEX(US_2_x,7))^2+(INDEX(US_2_y,41)-INDEX(US_2_y,7))^2)</f>
        <v>44.14240591540067</v>
      </c>
      <c r="K56" s="9">
        <f>SQRT((INDEX(US_2_x,41)-INDEX(US_2_x,8))^2+(INDEX(US_2_y,41)-INDEX(US_2_y,8))^2)</f>
        <v>25.437735748293324</v>
      </c>
      <c r="L56" s="9">
        <f>SQRT((INDEX(US_2_x,41)-INDEX(US_2_x,9))^2+(INDEX(US_2_y,41)-INDEX(US_2_y,9))^2)</f>
        <v>25.893230775629373</v>
      </c>
      <c r="M56" s="9">
        <f>SQRT((INDEX(US_2_x,41)-INDEX(US_2_x,10))^2+(INDEX(US_2_y,41)-INDEX(US_2_y,10))^2)</f>
        <v>43.17917322043117</v>
      </c>
      <c r="N56" s="9">
        <f>SQRT((INDEX(US_2_x,41)-INDEX(US_2_x,11))^2+(INDEX(US_2_y,41)-INDEX(US_2_y,11))^2)</f>
        <v>25.128559449359607</v>
      </c>
      <c r="O56" s="9">
        <f>SQRT((INDEX(US_2_x,41)-INDEX(US_2_x,12))^2+(INDEX(US_2_y,41)-INDEX(US_2_y,12))^2)</f>
        <v>29.115811855416297</v>
      </c>
      <c r="P56" s="9">
        <f>SQRT((INDEX(US_2_x,41)-INDEX(US_2_x,13))^2+(INDEX(US_2_y,41)-INDEX(US_2_y,13))^2)</f>
        <v>25.493130447240095</v>
      </c>
      <c r="Q56" s="9">
        <f>SQRT((INDEX(US_2_x,41)-INDEX(US_2_x,14))^2+(INDEX(US_2_y,41)-INDEX(US_2_y,14))^2)</f>
        <v>19.313606602600153</v>
      </c>
      <c r="R56" s="9">
        <f>SQRT((INDEX(US_2_x,41)-INDEX(US_2_x,15))^2+(INDEX(US_2_y,41)-INDEX(US_2_y,15))^2)</f>
        <v>28.847691415432188</v>
      </c>
      <c r="S56" s="9">
        <f>SQRT((INDEX(US_2_x,41)-INDEX(US_2_x,16))^2+(INDEX(US_2_y,41)-INDEX(US_2_y,16))^2)</f>
        <v>12.404535460870752</v>
      </c>
      <c r="T56" s="9">
        <f>SQRT((INDEX(US_2_x,41)-INDEX(US_2_x,17))^2+(INDEX(US_2_y,41)-INDEX(US_2_y,17))^2)</f>
        <v>56.86634505575332</v>
      </c>
      <c r="U56" s="9">
        <f>SQRT((INDEX(US_2_x,41)-INDEX(US_2_x,18))^2+(INDEX(US_2_y,41)-INDEX(US_2_y,18))^2)</f>
        <v>42.47120083068055</v>
      </c>
      <c r="V56" s="9">
        <f>SQRT((INDEX(US_2_x,41)-INDEX(US_2_x,19))^2+(INDEX(US_2_y,41)-INDEX(US_2_y,19))^2)</f>
        <v>53.432104581421825</v>
      </c>
      <c r="W56" s="9">
        <f>SQRT((INDEX(US_2_x,41)-INDEX(US_2_x,20))^2+(INDEX(US_2_y,41)-INDEX(US_2_y,20))^2)</f>
        <v>35.412520384745285</v>
      </c>
      <c r="X56" s="9">
        <f>SQRT((INDEX(US_2_x,41)-INDEX(US_2_x,21))^2+(INDEX(US_2_y,41)-INDEX(US_2_y,21))^2)</f>
        <v>32.67789007876733</v>
      </c>
      <c r="Y56" s="9">
        <f>SQRT((INDEX(US_2_x,41)-INDEX(US_2_x,22))^2+(INDEX(US_2_y,41)-INDEX(US_2_y,22))^2)</f>
        <v>14.78633152610883</v>
      </c>
      <c r="Z56" s="9">
        <f>SQRT((INDEX(US_2_x,41)-INDEX(US_2_x,23))^2+(INDEX(US_2_y,41)-INDEX(US_2_y,23))^2)</f>
        <v>20.53182894921931</v>
      </c>
      <c r="AA56" s="9">
        <f>SQRT((INDEX(US_2_x,41)-INDEX(US_2_x,24))^2+(INDEX(US_2_y,41)-INDEX(US_2_y,24))^2)</f>
        <v>42.8479462751717</v>
      </c>
      <c r="AB56" s="9">
        <f>SQRT((INDEX(US_2_x,41)-INDEX(US_2_x,25))^2+(INDEX(US_2_y,41)-INDEX(US_2_y,25))^2)</f>
        <v>22.849087509132616</v>
      </c>
      <c r="AC56" s="9">
        <f>SQRT((INDEX(US_2_x,41)-INDEX(US_2_x,26))^2+(INDEX(US_2_y,41)-INDEX(US_2_y,26))^2)</f>
        <v>43.961410350442584</v>
      </c>
      <c r="AD56" s="9">
        <f>SQRT((INDEX(US_2_x,41)-INDEX(US_2_x,27))^2+(INDEX(US_2_y,41)-INDEX(US_2_y,27))^2)</f>
        <v>53.38346279513909</v>
      </c>
      <c r="AE56" s="9">
        <f>SQRT((INDEX(US_2_x,41)-INDEX(US_2_x,28))^2+(INDEX(US_2_y,41)-INDEX(US_2_y,28))^2)</f>
        <v>46.13720516026085</v>
      </c>
      <c r="AF56" s="20">
        <f>SQRT((INDEX(US_2_x,41)-INDEX(US_2_x,29))^2+(INDEX(US_2_y,41)-INDEX(US_2_y,29))^2)</f>
        <v>19.10057590754792</v>
      </c>
      <c r="AG56" s="9">
        <f>SQRT((INDEX(US_2_x,41)-INDEX(US_2_x,30))^2+(INDEX(US_2_y,41)-INDEX(US_2_y,30))^2)</f>
        <v>49.66351276339603</v>
      </c>
      <c r="AH56" s="9">
        <f>SQRT((INDEX(US_2_x,41)-INDEX(US_2_x,31))^2+(INDEX(US_2_y,41)-INDEX(US_2_y,31))^2)</f>
        <v>36.92495226808019</v>
      </c>
      <c r="AI56" s="9">
        <f>SQRT((INDEX(US_2_x,41)-INDEX(US_2_x,32))^2+(INDEX(US_2_y,41)-INDEX(US_2_y,32))^2)</f>
        <v>36.117620353506126</v>
      </c>
      <c r="AJ56" s="9">
        <f>SQRT((INDEX(US_2_x,41)-INDEX(US_2_x,33))^2+(INDEX(US_2_y,41)-INDEX(US_2_y,33))^2)</f>
        <v>33.579115533319225</v>
      </c>
      <c r="AK56" s="9">
        <f>SQRT((INDEX(US_2_x,41)-INDEX(US_2_x,34))^2+(INDEX(US_2_y,41)-INDEX(US_2_y,34))^2)</f>
        <v>11.231620542023311</v>
      </c>
      <c r="AL56" s="9">
        <f>SQRT((INDEX(US_2_x,41)-INDEX(US_2_x,35))^2+(INDEX(US_2_y,41)-INDEX(US_2_y,35))^2)</f>
        <v>53.78774953462917</v>
      </c>
      <c r="AM56" s="9">
        <f>SQRT((INDEX(US_2_x,41)-INDEX(US_2_x,36))^2+(INDEX(US_2_y,41)-INDEX(US_2_y,36))^2)</f>
        <v>42.85264285898829</v>
      </c>
      <c r="AN56" s="9">
        <f>SQRT((INDEX(US_2_x,41)-INDEX(US_2_x,37))^2+(INDEX(US_2_y,41)-INDEX(US_2_y,37))^2)</f>
        <v>52.496432259726</v>
      </c>
      <c r="AO56" s="9">
        <f>SQRT((INDEX(US_2_x,41)-INDEX(US_2_x,38))^2+(INDEX(US_2_y,41)-INDEX(US_2_y,38))^2)</f>
        <v>31.96946199109394</v>
      </c>
      <c r="AP56" s="9">
        <f>SQRT((INDEX(US_2_x,41)-INDEX(US_2_x,39))^2+(INDEX(US_2_y,41)-INDEX(US_2_y,39))^2)</f>
        <v>30.79565229054257</v>
      </c>
      <c r="AQ56" s="9">
        <f>SQRT((INDEX(US_2_x,41)-INDEX(US_2_x,40))^2+(INDEX(US_2_y,41)-INDEX(US_2_y,40))^2)</f>
        <v>23.73567146722418</v>
      </c>
      <c r="AR56" s="9" t="s">
        <v>30</v>
      </c>
      <c r="AS56" s="9">
        <f>SQRT((INDEX(US_2_x,41)-INDEX(US_2_x,42))^2+(INDEX(US_2_y,41)-INDEX(US_2_y,42))^2)</f>
        <v>33.853806285261335</v>
      </c>
      <c r="AT56" s="9">
        <f>SQRT((INDEX(US_2_x,41)-INDEX(US_2_x,43))^2+(INDEX(US_2_y,41)-INDEX(US_2_y,43))^2)</f>
        <v>52.834748035738755</v>
      </c>
      <c r="AU56" s="9">
        <f>SQRT((INDEX(US_2_x,41)-INDEX(US_2_x,44))^2+(INDEX(US_2_y,41)-INDEX(US_2_y,44))^2)</f>
        <v>39.96795841671176</v>
      </c>
      <c r="AV56" s="9">
        <f>SQRT((INDEX(US_2_x,41)-INDEX(US_2_x,45))^2+(INDEX(US_2_y,41)-INDEX(US_2_y,45))^2)</f>
        <v>55.8407745290124</v>
      </c>
      <c r="AW56" s="9">
        <f>SQRT((INDEX(US_2_x,41)-INDEX(US_2_x,46))^2+(INDEX(US_2_y,41)-INDEX(US_2_y,46))^2)</f>
        <v>33.851577511247534</v>
      </c>
      <c r="AX56" s="9">
        <f>SQRT((INDEX(US_2_x,41)-INDEX(US_2_x,47))^2+(INDEX(US_2_y,41)-INDEX(US_2_y,47))^2)</f>
        <v>31.244077838848117</v>
      </c>
      <c r="AY56" s="9">
        <f>SQRT((INDEX(US_2_x,41)-INDEX(US_2_x,48))^2+(INDEX(US_2_y,41)-INDEX(US_2_y,48))^2)</f>
        <v>26.63953453046806</v>
      </c>
      <c r="AZ56" s="9" t="s">
        <v>30</v>
      </c>
      <c r="BA56" s="34">
        <v>49.85</v>
      </c>
      <c r="BB56" s="34">
        <v>1.4</v>
      </c>
    </row>
    <row r="57" spans="3:54" ht="15" thickBot="1" thickTop="1">
      <c r="C57" s="4">
        <v>42</v>
      </c>
      <c r="D57" s="9">
        <f>SQRT((INDEX(US_2_x,42)-INDEX(US_2_x,1))^2+(INDEX(US_2_y,42)-INDEX(US_2_y,1))^2)</f>
        <v>48.19396227744717</v>
      </c>
      <c r="E57" s="9">
        <f>SQRT((INDEX(US_2_x,42)-INDEX(US_2_x,2))^2+(INDEX(US_2_y,42)-INDEX(US_2_y,2))^2)</f>
        <v>15.909022597255936</v>
      </c>
      <c r="F57" s="9">
        <f>SQRT((INDEX(US_2_x,42)-INDEX(US_2_x,3))^2+(INDEX(US_2_y,42)-INDEX(US_2_y,3))^2)</f>
        <v>36.169076571015744</v>
      </c>
      <c r="G57" s="9">
        <f>SQRT((INDEX(US_2_x,42)-INDEX(US_2_x,4))^2+(INDEX(US_2_y,42)-INDEX(US_2_y,4))^2)</f>
        <v>16.808358039975232</v>
      </c>
      <c r="H57" s="9">
        <f>SQRT((INDEX(US_2_x,42)-INDEX(US_2_x,5))^2+(INDEX(US_2_y,42)-INDEX(US_2_y,5))^2)</f>
        <v>11.684096028362656</v>
      </c>
      <c r="I57" s="9">
        <f>SQRT((INDEX(US_2_x,42)-INDEX(US_2_x,6))^2+(INDEX(US_2_y,42)-INDEX(US_2_y,6))^2)</f>
        <v>63.83195516353859</v>
      </c>
      <c r="J57" s="9">
        <f>SQRT((INDEX(US_2_x,42)-INDEX(US_2_x,7))^2+(INDEX(US_2_y,42)-INDEX(US_2_y,7))^2)</f>
        <v>60.507237583614746</v>
      </c>
      <c r="K57" s="9">
        <f>SQRT((INDEX(US_2_x,42)-INDEX(US_2_x,8))^2+(INDEX(US_2_y,42)-INDEX(US_2_y,8))^2)</f>
        <v>53.574622723823275</v>
      </c>
      <c r="L57" s="9">
        <f>SQRT((INDEX(US_2_x,42)-INDEX(US_2_x,9))^2+(INDEX(US_2_y,42)-INDEX(US_2_y,9))^2)</f>
        <v>49.92011618576224</v>
      </c>
      <c r="M57" s="9">
        <f>SQRT((INDEX(US_2_x,42)-INDEX(US_2_x,10))^2+(INDEX(US_2_y,42)-INDEX(US_2_y,10))^2)</f>
        <v>9.363845363951715</v>
      </c>
      <c r="N57" s="9">
        <f>SQRT((INDEX(US_2_x,42)-INDEX(US_2_x,11))^2+(INDEX(US_2_y,42)-INDEX(US_2_y,11))^2)</f>
        <v>37.00280124531114</v>
      </c>
      <c r="O57" s="9">
        <f>SQRT((INDEX(US_2_x,42)-INDEX(US_2_x,12))^2+(INDEX(US_2_y,42)-INDEX(US_2_y,12))^2)</f>
        <v>42.76651143125893</v>
      </c>
      <c r="P57" s="9">
        <f>SQRT((INDEX(US_2_x,42)-INDEX(US_2_x,13))^2+(INDEX(US_2_y,42)-INDEX(US_2_y,13))^2)</f>
        <v>30.00854045101161</v>
      </c>
      <c r="Q57" s="9">
        <f>SQRT((INDEX(US_2_x,42)-INDEX(US_2_x,14))^2+(INDEX(US_2_y,42)-INDEX(US_2_y,14))^2)</f>
        <v>27.35977339087442</v>
      </c>
      <c r="R57" s="9">
        <f>SQRT((INDEX(US_2_x,42)-INDEX(US_2_x,15))^2+(INDEX(US_2_y,42)-INDEX(US_2_y,15))^2)</f>
        <v>45.68890127810035</v>
      </c>
      <c r="S57" s="9">
        <f>SQRT((INDEX(US_2_x,42)-INDEX(US_2_x,16))^2+(INDEX(US_2_y,42)-INDEX(US_2_y,16))^2)</f>
        <v>42.865465120537294</v>
      </c>
      <c r="T57" s="9">
        <f>SQRT((INDEX(US_2_x,42)-INDEX(US_2_x,17))^2+(INDEX(US_2_y,42)-INDEX(US_2_y,17))^2)</f>
        <v>67.45461437144237</v>
      </c>
      <c r="U57" s="9">
        <f>SQRT((INDEX(US_2_x,42)-INDEX(US_2_x,18))^2+(INDEX(US_2_y,42)-INDEX(US_2_y,18))^2)</f>
        <v>59.02758422974805</v>
      </c>
      <c r="V57" s="9">
        <f>SQRT((INDEX(US_2_x,42)-INDEX(US_2_x,19))^2+(INDEX(US_2_y,42)-INDEX(US_2_y,19))^2)</f>
        <v>66.161599134241</v>
      </c>
      <c r="W57" s="9">
        <f>SQRT((INDEX(US_2_x,42)-INDEX(US_2_x,20))^2+(INDEX(US_2_y,42)-INDEX(US_2_y,20))^2)</f>
        <v>44.54247411179581</v>
      </c>
      <c r="X57" s="9">
        <f>SQRT((INDEX(US_2_x,42)-INDEX(US_2_x,21))^2+(INDEX(US_2_y,42)-INDEX(US_2_y,21))^2)</f>
        <v>31.352015884150095</v>
      </c>
      <c r="Y57" s="9">
        <f>SQRT((INDEX(US_2_x,42)-INDEX(US_2_x,22))^2+(INDEX(US_2_y,42)-INDEX(US_2_y,22))^2)</f>
        <v>42.100957233773194</v>
      </c>
      <c r="Z57" s="9">
        <f>SQRT((INDEX(US_2_x,42)-INDEX(US_2_x,23))^2+(INDEX(US_2_y,42)-INDEX(US_2_y,23))^2)</f>
        <v>33.397392113756425</v>
      </c>
      <c r="AA57" s="9">
        <f>SQRT((INDEX(US_2_x,42)-INDEX(US_2_x,24))^2+(INDEX(US_2_y,42)-INDEX(US_2_y,24))^2)</f>
        <v>12.718840355944407</v>
      </c>
      <c r="AB57" s="9">
        <f>SQRT((INDEX(US_2_x,42)-INDEX(US_2_x,25))^2+(INDEX(US_2_y,42)-INDEX(US_2_y,25))^2)</f>
        <v>25.067688365702967</v>
      </c>
      <c r="AC57" s="20">
        <f>SQRT((INDEX(US_2_x,42)-INDEX(US_2_x,26))^2+(INDEX(US_2_y,42)-INDEX(US_2_y,26))^2)</f>
        <v>13.62736218055424</v>
      </c>
      <c r="AD57" s="9">
        <f>SQRT((INDEX(US_2_x,42)-INDEX(US_2_x,27))^2+(INDEX(US_2_y,42)-INDEX(US_2_y,27))^2)</f>
        <v>65.0851910959782</v>
      </c>
      <c r="AE57" s="9">
        <f>SQRT((INDEX(US_2_x,42)-INDEX(US_2_x,28))^2+(INDEX(US_2_y,42)-INDEX(US_2_y,28))^2)</f>
        <v>61.203242561158476</v>
      </c>
      <c r="AF57" s="9">
        <f>SQRT((INDEX(US_2_x,42)-INDEX(US_2_x,29))^2+(INDEX(US_2_y,42)-INDEX(US_2_y,29))^2)</f>
        <v>15.00363289340285</v>
      </c>
      <c r="AG57" s="9">
        <f>SQRT((INDEX(US_2_x,42)-INDEX(US_2_x,30))^2+(INDEX(US_2_y,42)-INDEX(US_2_y,30))^2)</f>
        <v>61.7867825671478</v>
      </c>
      <c r="AH57" s="9">
        <f>SQRT((INDEX(US_2_x,42)-INDEX(US_2_x,31))^2+(INDEX(US_2_y,42)-INDEX(US_2_y,31))^2)</f>
        <v>57.62244788274792</v>
      </c>
      <c r="AI57" s="9">
        <f>SQRT((INDEX(US_2_x,42)-INDEX(US_2_x,32))^2+(INDEX(US_2_y,42)-INDEX(US_2_y,32))^2)</f>
        <v>21.863067030954284</v>
      </c>
      <c r="AJ57" s="9">
        <f>SQRT((INDEX(US_2_x,42)-INDEX(US_2_x,33))^2+(INDEX(US_2_y,42)-INDEX(US_2_y,33))^2)</f>
        <v>47.86743778394662</v>
      </c>
      <c r="AK57" s="9">
        <f>SQRT((INDEX(US_2_x,42)-INDEX(US_2_x,34))^2+(INDEX(US_2_y,42)-INDEX(US_2_y,34))^2)</f>
        <v>27.174445716518303</v>
      </c>
      <c r="AL57" s="9">
        <f>SQRT((INDEX(US_2_x,42)-INDEX(US_2_x,35))^2+(INDEX(US_2_y,42)-INDEX(US_2_y,35))^2)</f>
        <v>20.00514433839456</v>
      </c>
      <c r="AM57" s="9">
        <f>SQRT((INDEX(US_2_x,42)-INDEX(US_2_x,36))^2+(INDEX(US_2_y,42)-INDEX(US_2_y,36))^2)</f>
        <v>57.71856200564945</v>
      </c>
      <c r="AN57" s="9">
        <f>SQRT((INDEX(US_2_x,42)-INDEX(US_2_x,37))^2+(INDEX(US_2_y,42)-INDEX(US_2_y,37))^2)</f>
        <v>65.82734386256217</v>
      </c>
      <c r="AO57" s="9">
        <f>SQRT((INDEX(US_2_x,42)-INDEX(US_2_x,38))^2+(INDEX(US_2_y,42)-INDEX(US_2_y,38))^2)</f>
        <v>55.174451515171405</v>
      </c>
      <c r="AP57" s="9">
        <f>SQRT((INDEX(US_2_x,42)-INDEX(US_2_x,39))^2+(INDEX(US_2_y,42)-INDEX(US_2_y,39))^2)</f>
        <v>20.11522806234123</v>
      </c>
      <c r="AQ57" s="9">
        <f>SQRT((INDEX(US_2_x,42)-INDEX(US_2_x,40))^2+(INDEX(US_2_y,42)-INDEX(US_2_y,40))^2)</f>
        <v>43.91626236373036</v>
      </c>
      <c r="AR57" s="9">
        <f>SQRT((INDEX(US_2_x,42)-INDEX(US_2_x,41))^2+(INDEX(US_2_y,42)-INDEX(US_2_y,41))^2)</f>
        <v>33.853806285261335</v>
      </c>
      <c r="AS57" s="9" t="s">
        <v>30</v>
      </c>
      <c r="AT57" s="9">
        <f>SQRT((INDEX(US_2_x,42)-INDEX(US_2_x,43))^2+(INDEX(US_2_y,42)-INDEX(US_2_y,43))^2)</f>
        <v>63.13588203232771</v>
      </c>
      <c r="AU57" s="9">
        <f>SQRT((INDEX(US_2_x,42)-INDEX(US_2_x,44))^2+(INDEX(US_2_y,42)-INDEX(US_2_y,44))^2)</f>
        <v>58.369982867909094</v>
      </c>
      <c r="AV57" s="9">
        <f>SQRT((INDEX(US_2_x,42)-INDEX(US_2_x,45))^2+(INDEX(US_2_y,42)-INDEX(US_2_y,45))^2)</f>
        <v>22.04151764284846</v>
      </c>
      <c r="AW57" s="9">
        <f>SQRT((INDEX(US_2_x,42)-INDEX(US_2_x,46))^2+(INDEX(US_2_y,42)-INDEX(US_2_y,46))^2)</f>
        <v>50.94080584364562</v>
      </c>
      <c r="AX57" s="9">
        <f>SQRT((INDEX(US_2_x,42)-INDEX(US_2_x,47))^2+(INDEX(US_2_y,42)-INDEX(US_2_y,47))^2)</f>
        <v>36.79549157165861</v>
      </c>
      <c r="AY57" s="9">
        <f>SQRT((INDEX(US_2_x,42)-INDEX(US_2_x,48))^2+(INDEX(US_2_y,42)-INDEX(US_2_y,48))^2)</f>
        <v>11.681515312663851</v>
      </c>
      <c r="AZ57" s="9" t="s">
        <v>30</v>
      </c>
      <c r="BA57" s="34">
        <v>19.16</v>
      </c>
      <c r="BB57" s="34">
        <v>15.69</v>
      </c>
    </row>
    <row r="58" spans="3:54" ht="15" thickBot="1" thickTop="1">
      <c r="C58" s="4">
        <v>43</v>
      </c>
      <c r="D58" s="9">
        <f>SQRT((INDEX(US_2_x,43)-INDEX(US_2_x,1))^2+(INDEX(US_2_y,43)-INDEX(US_2_y,1))^2)</f>
        <v>34.88987245605808</v>
      </c>
      <c r="E58" s="9">
        <f>SQRT((INDEX(US_2_x,43)-INDEX(US_2_x,2))^2+(INDEX(US_2_y,43)-INDEX(US_2_y,2))^2)</f>
        <v>70.26701217498862</v>
      </c>
      <c r="F58" s="9">
        <f>SQRT((INDEX(US_2_x,43)-INDEX(US_2_x,3))^2+(INDEX(US_2_y,43)-INDEX(US_2_y,3))^2)</f>
        <v>38.90774344523208</v>
      </c>
      <c r="G58" s="9">
        <f>SQRT((INDEX(US_2_x,43)-INDEX(US_2_x,4))^2+(INDEX(US_2_y,43)-INDEX(US_2_y,4))^2)</f>
        <v>79.86739322151436</v>
      </c>
      <c r="H58" s="9">
        <f>SQRT((INDEX(US_2_x,43)-INDEX(US_2_x,5))^2+(INDEX(US_2_y,43)-INDEX(US_2_y,5))^2)</f>
        <v>53.12083301304677</v>
      </c>
      <c r="I58" s="9">
        <f>SQRT((INDEX(US_2_x,43)-INDEX(US_2_x,6))^2+(INDEX(US_2_y,43)-INDEX(US_2_y,6))^2)</f>
        <v>5.49604403184691</v>
      </c>
      <c r="J58" s="9">
        <f>SQRT((INDEX(US_2_x,43)-INDEX(US_2_x,7))^2+(INDEX(US_2_y,43)-INDEX(US_2_y,7))^2)</f>
        <v>12.187444358847353</v>
      </c>
      <c r="K58" s="9">
        <f>SQRT((INDEX(US_2_x,43)-INDEX(US_2_x,8))^2+(INDEX(US_2_y,43)-INDEX(US_2_y,8))^2)</f>
        <v>36.310309830680325</v>
      </c>
      <c r="L58" s="9">
        <f>SQRT((INDEX(US_2_x,43)-INDEX(US_2_x,9))^2+(INDEX(US_2_y,43)-INDEX(US_2_y,9))^2)</f>
        <v>30.38111255369033</v>
      </c>
      <c r="M58" s="9">
        <f>SQRT((INDEX(US_2_x,43)-INDEX(US_2_x,10))^2+(INDEX(US_2_y,43)-INDEX(US_2_y,10))^2)</f>
        <v>67.94609922578337</v>
      </c>
      <c r="N58" s="9">
        <f>SQRT((INDEX(US_2_x,43)-INDEX(US_2_x,11))^2+(INDEX(US_2_y,43)-INDEX(US_2_y,11))^2)</f>
        <v>29.225319502102966</v>
      </c>
      <c r="O58" s="9">
        <f>SQRT((INDEX(US_2_x,43)-INDEX(US_2_x,12))^2+(INDEX(US_2_y,43)-INDEX(US_2_y,12))^2)</f>
        <v>24.023648765331217</v>
      </c>
      <c r="P58" s="9">
        <f>SQRT((INDEX(US_2_x,43)-INDEX(US_2_x,13))^2+(INDEX(US_2_y,43)-INDEX(US_2_y,13))^2)</f>
        <v>34.0236697021353</v>
      </c>
      <c r="Q58" s="9">
        <f>SQRT((INDEX(US_2_x,43)-INDEX(US_2_x,14))^2+(INDEX(US_2_y,43)-INDEX(US_2_y,14))^2)</f>
        <v>39.14169132779012</v>
      </c>
      <c r="R58" s="9">
        <f>SQRT((INDEX(US_2_x,43)-INDEX(US_2_x,15))^2+(INDEX(US_2_y,43)-INDEX(US_2_y,15))^2)</f>
        <v>24.044011728494898</v>
      </c>
      <c r="S58" s="9">
        <f>SQRT((INDEX(US_2_x,43)-INDEX(US_2_x,16))^2+(INDEX(US_2_y,43)-INDEX(US_2_y,16))^2)</f>
        <v>43.89627432937789</v>
      </c>
      <c r="T58" s="20">
        <f>SQRT((INDEX(US_2_x,43)-INDEX(US_2_x,17))^2+(INDEX(US_2_y,43)-INDEX(US_2_y,17))^2)</f>
        <v>4.367905676637263</v>
      </c>
      <c r="U58" s="9">
        <f>SQRT((INDEX(US_2_x,43)-INDEX(US_2_x,18))^2+(INDEX(US_2_y,43)-INDEX(US_2_y,18))^2)</f>
        <v>13.215918431951678</v>
      </c>
      <c r="V58" s="9">
        <f>SQRT((INDEX(US_2_x,43)-INDEX(US_2_x,19))^2+(INDEX(US_2_y,43)-INDEX(US_2_y,19))^2)</f>
        <v>4.850566977168749</v>
      </c>
      <c r="W58" s="9">
        <f>SQRT((INDEX(US_2_x,43)-INDEX(US_2_x,20))^2+(INDEX(US_2_y,43)-INDEX(US_2_y,20))^2)</f>
        <v>19.221456760610003</v>
      </c>
      <c r="X58" s="9">
        <f>SQRT((INDEX(US_2_x,43)-INDEX(US_2_x,21))^2+(INDEX(US_2_y,43)-INDEX(US_2_y,21))^2)</f>
        <v>31.88119978921747</v>
      </c>
      <c r="Y58" s="9">
        <f>SQRT((INDEX(US_2_x,43)-INDEX(US_2_x,22))^2+(INDEX(US_2_y,43)-INDEX(US_2_y,22))^2)</f>
        <v>39.681937956707706</v>
      </c>
      <c r="Z58" s="9">
        <f>SQRT((INDEX(US_2_x,43)-INDEX(US_2_x,23))^2+(INDEX(US_2_y,43)-INDEX(US_2_y,23))^2)</f>
        <v>34.22374906406368</v>
      </c>
      <c r="AA58" s="9">
        <f>SQRT((INDEX(US_2_x,43)-INDEX(US_2_x,24))^2+(INDEX(US_2_y,43)-INDEX(US_2_y,24))^2)</f>
        <v>60.21354415744019</v>
      </c>
      <c r="AB58" s="9">
        <f>SQRT((INDEX(US_2_x,43)-INDEX(US_2_x,25))^2+(INDEX(US_2_y,43)-INDEX(US_2_y,25))^2)</f>
        <v>39.34419652248601</v>
      </c>
      <c r="AC58" s="9">
        <f>SQRT((INDEX(US_2_x,43)-INDEX(US_2_x,26))^2+(INDEX(US_2_y,43)-INDEX(US_2_y,26))^2)</f>
        <v>76.66907720848086</v>
      </c>
      <c r="AD58" s="9">
        <f>SQRT((INDEX(US_2_x,43)-INDEX(US_2_x,27))^2+(INDEX(US_2_y,43)-INDEX(US_2_y,27))^2)</f>
        <v>2.8640006983239386</v>
      </c>
      <c r="AE58" s="9">
        <f>SQRT((INDEX(US_2_x,43)-INDEX(US_2_x,28))^2+(INDEX(US_2_y,43)-INDEX(US_2_y,28))^2)</f>
        <v>9.543819989920179</v>
      </c>
      <c r="AF58" s="9">
        <f>SQRT((INDEX(US_2_x,43)-INDEX(US_2_x,29))^2+(INDEX(US_2_y,43)-INDEX(US_2_y,29))^2)</f>
        <v>58.30871118452199</v>
      </c>
      <c r="AG58" s="9">
        <f>SQRT((INDEX(US_2_x,43)-INDEX(US_2_x,30))^2+(INDEX(US_2_y,43)-INDEX(US_2_y,30))^2)</f>
        <v>3.9954098663341155</v>
      </c>
      <c r="AH58" s="9">
        <f>SQRT((INDEX(US_2_x,43)-INDEX(US_2_x,31))^2+(INDEX(US_2_y,43)-INDEX(US_2_y,31))^2)</f>
        <v>21.146699506069503</v>
      </c>
      <c r="AI58" s="9">
        <f>SQRT((INDEX(US_2_x,43)-INDEX(US_2_x,32))^2+(INDEX(US_2_y,43)-INDEX(US_2_y,32))^2)</f>
        <v>43.3843992697836</v>
      </c>
      <c r="AJ58" s="9">
        <f>SQRT((INDEX(US_2_x,43)-INDEX(US_2_x,33))^2+(INDEX(US_2_y,43)-INDEX(US_2_y,33))^2)</f>
        <v>19.25718567184727</v>
      </c>
      <c r="AK58" s="9">
        <f>SQRT((INDEX(US_2_x,43)-INDEX(US_2_x,34))^2+(INDEX(US_2_y,43)-INDEX(US_2_y,34))^2)</f>
        <v>45.64754648390207</v>
      </c>
      <c r="AL58" s="9">
        <f>SQRT((INDEX(US_2_x,43)-INDEX(US_2_x,35))^2+(INDEX(US_2_y,43)-INDEX(US_2_y,35))^2)</f>
        <v>77.37088470477767</v>
      </c>
      <c r="AM58" s="9">
        <f>SQRT((INDEX(US_2_x,43)-INDEX(US_2_x,36))^2+(INDEX(US_2_y,43)-INDEX(US_2_y,36))^2)</f>
        <v>11.204570496007424</v>
      </c>
      <c r="AN58" s="9">
        <f>SQRT((INDEX(US_2_x,43)-INDEX(US_2_x,37))^2+(INDEX(US_2_y,43)-INDEX(US_2_y,37))^2)</f>
        <v>5.698596318392808</v>
      </c>
      <c r="AO58" s="9">
        <f>SQRT((INDEX(US_2_x,43)-INDEX(US_2_x,38))^2+(INDEX(US_2_y,43)-INDEX(US_2_y,38))^2)</f>
        <v>26.57361285184986</v>
      </c>
      <c r="AP58" s="9">
        <f>SQRT((INDEX(US_2_x,43)-INDEX(US_2_x,39))^2+(INDEX(US_2_y,43)-INDEX(US_2_y,39))^2)</f>
        <v>43.237155318082614</v>
      </c>
      <c r="AQ58" s="9">
        <f>SQRT((INDEX(US_2_x,43)-INDEX(US_2_x,40))^2+(INDEX(US_2_y,43)-INDEX(US_2_y,40))^2)</f>
        <v>29.424100665950693</v>
      </c>
      <c r="AR58" s="9">
        <f>SQRT((INDEX(US_2_x,43)-INDEX(US_2_x,41))^2+(INDEX(US_2_y,43)-INDEX(US_2_y,41))^2)</f>
        <v>52.834748035738755</v>
      </c>
      <c r="AS58" s="9">
        <f>SQRT((INDEX(US_2_x,43)-INDEX(US_2_x,42))^2+(INDEX(US_2_y,43)-INDEX(US_2_y,42))^2)</f>
        <v>63.13588203232771</v>
      </c>
      <c r="AT58" s="9" t="s">
        <v>30</v>
      </c>
      <c r="AU58" s="9">
        <f>SQRT((INDEX(US_2_x,43)-INDEX(US_2_x,44))^2+(INDEX(US_2_y,43)-INDEX(US_2_y,44))^2)</f>
        <v>16.757210388367152</v>
      </c>
      <c r="AV58" s="9">
        <f>SQRT((INDEX(US_2_x,43)-INDEX(US_2_x,45))^2+(INDEX(US_2_y,43)-INDEX(US_2_y,45))^2)</f>
        <v>76.0227788231922</v>
      </c>
      <c r="AW58" s="9">
        <f>SQRT((INDEX(US_2_x,43)-INDEX(US_2_x,46))^2+(INDEX(US_2_y,43)-INDEX(US_2_y,46))^2)</f>
        <v>19.638138913858413</v>
      </c>
      <c r="AX58" s="9">
        <f>SQRT((INDEX(US_2_x,43)-INDEX(US_2_x,47))^2+(INDEX(US_2_y,43)-INDEX(US_2_y,47))^2)</f>
        <v>26.611850743606688</v>
      </c>
      <c r="AY58" s="9">
        <f>SQRT((INDEX(US_2_x,43)-INDEX(US_2_x,48))^2+(INDEX(US_2_y,43)-INDEX(US_2_y,48))^2)</f>
        <v>51.83232389156403</v>
      </c>
      <c r="AZ58" s="9" t="s">
        <v>30</v>
      </c>
      <c r="BA58" s="34">
        <v>72.8</v>
      </c>
      <c r="BB58" s="34">
        <v>48.99</v>
      </c>
    </row>
    <row r="59" spans="3:54" ht="15" thickBot="1" thickTop="1">
      <c r="C59" s="4">
        <v>44</v>
      </c>
      <c r="D59" s="9">
        <f>SQRT((INDEX(US_2_x,44)-INDEX(US_2_x,1))^2+(INDEX(US_2_y,44)-INDEX(US_2_y,1))^2)</f>
        <v>19.469003569777268</v>
      </c>
      <c r="E59" s="9">
        <f>SQRT((INDEX(US_2_x,44)-INDEX(US_2_x,2))^2+(INDEX(US_2_y,44)-INDEX(US_2_y,2))^2)</f>
        <v>61.85678378318744</v>
      </c>
      <c r="F59" s="9">
        <f>SQRT((INDEX(US_2_x,44)-INDEX(US_2_x,3))^2+(INDEX(US_2_y,44)-INDEX(US_2_y,3))^2)</f>
        <v>26.852683292363917</v>
      </c>
      <c r="G59" s="9">
        <f>SQRT((INDEX(US_2_x,44)-INDEX(US_2_x,4))^2+(INDEX(US_2_y,44)-INDEX(US_2_y,4))^2)</f>
        <v>75.01604361734894</v>
      </c>
      <c r="H59" s="9">
        <f>SQRT((INDEX(US_2_x,44)-INDEX(US_2_x,5))^2+(INDEX(US_2_y,44)-INDEX(US_2_y,5))^2)</f>
        <v>47.055662783558795</v>
      </c>
      <c r="I59" s="9">
        <f>SQRT((INDEX(US_2_x,44)-INDEX(US_2_x,6))^2+(INDEX(US_2_y,44)-INDEX(US_2_y,6))^2)</f>
        <v>12.230134913401402</v>
      </c>
      <c r="J59" s="9">
        <f>SQRT((INDEX(US_2_x,44)-INDEX(US_2_x,7))^2+(INDEX(US_2_y,44)-INDEX(US_2_y,7))^2)</f>
        <v>4.812743500333252</v>
      </c>
      <c r="K59" s="9">
        <f>SQRT((INDEX(US_2_x,44)-INDEX(US_2_x,8))^2+(INDEX(US_2_y,44)-INDEX(US_2_y,8))^2)</f>
        <v>19.860455684600996</v>
      </c>
      <c r="L59" s="9">
        <f>SQRT((INDEX(US_2_x,44)-INDEX(US_2_x,9))^2+(INDEX(US_2_y,44)-INDEX(US_2_y,9))^2)</f>
        <v>14.854753447970786</v>
      </c>
      <c r="M59" s="9">
        <f>SQRT((INDEX(US_2_x,44)-INDEX(US_2_x,10))^2+(INDEX(US_2_y,44)-INDEX(US_2_y,10))^2)</f>
        <v>65.06743348250338</v>
      </c>
      <c r="N59" s="9">
        <f>SQRT((INDEX(US_2_x,44)-INDEX(US_2_x,11))^2+(INDEX(US_2_y,44)-INDEX(US_2_y,11))^2)</f>
        <v>21.369066427899938</v>
      </c>
      <c r="O59" s="9">
        <f>SQRT((INDEX(US_2_x,44)-INDEX(US_2_x,12))^2+(INDEX(US_2_y,44)-INDEX(US_2_y,12))^2)</f>
        <v>15.634436350569217</v>
      </c>
      <c r="P59" s="9">
        <f>SQRT((INDEX(US_2_x,44)-INDEX(US_2_x,13))^2+(INDEX(US_2_y,44)-INDEX(US_2_y,13))^2)</f>
        <v>28.593765054640848</v>
      </c>
      <c r="Q59" s="9">
        <f>SQRT((INDEX(US_2_x,44)-INDEX(US_2_x,14))^2+(INDEX(US_2_y,44)-INDEX(US_2_y,14))^2)</f>
        <v>31.3723206027224</v>
      </c>
      <c r="R59" s="9">
        <f>SQRT((INDEX(US_2_x,44)-INDEX(US_2_x,15))^2+(INDEX(US_2_y,44)-INDEX(US_2_y,15))^2)</f>
        <v>12.881692435390628</v>
      </c>
      <c r="S59" s="9">
        <f>SQRT((INDEX(US_2_x,44)-INDEX(US_2_x,16))^2+(INDEX(US_2_y,44)-INDEX(US_2_y,16))^2)</f>
        <v>29.275423139555134</v>
      </c>
      <c r="T59" s="9">
        <f>SQRT((INDEX(US_2_x,44)-INDEX(US_2_x,17))^2+(INDEX(US_2_y,44)-INDEX(US_2_y,17))^2)</f>
        <v>19.476727137791915</v>
      </c>
      <c r="U59" s="9">
        <f>SQRT((INDEX(US_2_x,44)-INDEX(US_2_x,18))^2+(INDEX(US_2_y,44)-INDEX(US_2_y,18))^2)</f>
        <v>3.541327434734041</v>
      </c>
      <c r="V59" s="9">
        <f>SQRT((INDEX(US_2_x,44)-INDEX(US_2_x,19))^2+(INDEX(US_2_y,44)-INDEX(US_2_y,19))^2)</f>
        <v>15.006615207967446</v>
      </c>
      <c r="W59" s="9">
        <f>SQRT((INDEX(US_2_x,44)-INDEX(US_2_x,20))^2+(INDEX(US_2_y,44)-INDEX(US_2_y,20))^2)</f>
        <v>16.40903714420807</v>
      </c>
      <c r="X59" s="9">
        <f>SQRT((INDEX(US_2_x,44)-INDEX(US_2_x,21))^2+(INDEX(US_2_y,44)-INDEX(US_2_y,21))^2)</f>
        <v>30.287911780114527</v>
      </c>
      <c r="Y59" s="9">
        <f>SQRT((INDEX(US_2_x,44)-INDEX(US_2_x,22))^2+(INDEX(US_2_y,44)-INDEX(US_2_y,22))^2)</f>
        <v>25.52470372012181</v>
      </c>
      <c r="Z59" s="9">
        <f>SQRT((INDEX(US_2_x,44)-INDEX(US_2_x,23))^2+(INDEX(US_2_y,44)-INDEX(US_2_y,23))^2)</f>
        <v>25.403442680077834</v>
      </c>
      <c r="AA59" s="9">
        <f>SQRT((INDEX(US_2_x,44)-INDEX(US_2_x,24))^2+(INDEX(US_2_y,44)-INDEX(US_2_y,24))^2)</f>
        <v>58.917124844988834</v>
      </c>
      <c r="AB59" s="9">
        <f>SQRT((INDEX(US_2_x,44)-INDEX(US_2_x,25))^2+(INDEX(US_2_y,44)-INDEX(US_2_y,25))^2)</f>
        <v>33.3071959192004</v>
      </c>
      <c r="AC59" s="9">
        <f>SQRT((INDEX(US_2_x,44)-INDEX(US_2_x,26))^2+(INDEX(US_2_y,44)-INDEX(US_2_y,26))^2)</f>
        <v>71.89565007703874</v>
      </c>
      <c r="AD59" s="9">
        <f>SQRT((INDEX(US_2_x,44)-INDEX(US_2_x,27))^2+(INDEX(US_2_y,44)-INDEX(US_2_y,27))^2)</f>
        <v>15.806694784172937</v>
      </c>
      <c r="AE59" s="9">
        <f>SQRT((INDEX(US_2_x,44)-INDEX(US_2_x,28))^2+(INDEX(US_2_y,44)-INDEX(US_2_y,28))^2)</f>
        <v>7.426897064050371</v>
      </c>
      <c r="AF59" s="9">
        <f>SQRT((INDEX(US_2_x,44)-INDEX(US_2_x,29))^2+(INDEX(US_2_y,44)-INDEX(US_2_y,29))^2)</f>
        <v>49.93146603095087</v>
      </c>
      <c r="AG59" s="9">
        <f>SQRT((INDEX(US_2_x,44)-INDEX(US_2_x,30))^2+(INDEX(US_2_y,44)-INDEX(US_2_y,30))^2)</f>
        <v>12.766902521755231</v>
      </c>
      <c r="AH59" s="20">
        <f>SQRT((INDEX(US_2_x,44)-INDEX(US_2_x,31))^2+(INDEX(US_2_y,44)-INDEX(US_2_y,31))^2)</f>
        <v>4.394769618535196</v>
      </c>
      <c r="AI59" s="9">
        <f>SQRT((INDEX(US_2_x,44)-INDEX(US_2_x,32))^2+(INDEX(US_2_y,44)-INDEX(US_2_y,32))^2)</f>
        <v>42.64510757402307</v>
      </c>
      <c r="AJ59" s="9">
        <f>SQRT((INDEX(US_2_x,44)-INDEX(US_2_x,33))^2+(INDEX(US_2_y,44)-INDEX(US_2_y,33))^2)</f>
        <v>10.850092165507165</v>
      </c>
      <c r="AK59" s="9">
        <f>SQRT((INDEX(US_2_x,44)-INDEX(US_2_x,34))^2+(INDEX(US_2_y,44)-INDEX(US_2_y,34))^2)</f>
        <v>35.47038483016502</v>
      </c>
      <c r="AL59" s="9">
        <f>SQRT((INDEX(US_2_x,44)-INDEX(US_2_x,35))^2+(INDEX(US_2_y,44)-INDEX(US_2_y,35))^2)</f>
        <v>75.55575755691952</v>
      </c>
      <c r="AM59" s="9">
        <f>SQRT((INDEX(US_2_x,44)-INDEX(US_2_x,36))^2+(INDEX(US_2_y,44)-INDEX(US_2_y,36))^2)</f>
        <v>5.997674549356607</v>
      </c>
      <c r="AN59" s="9">
        <f>SQRT((INDEX(US_2_x,44)-INDEX(US_2_x,37))^2+(INDEX(US_2_y,44)-INDEX(US_2_y,37))^2)</f>
        <v>13.794002319849017</v>
      </c>
      <c r="AO59" s="9">
        <f>SQRT((INDEX(US_2_x,44)-INDEX(US_2_x,38))^2+(INDEX(US_2_y,44)-INDEX(US_2_y,38))^2)</f>
        <v>10.018552789699717</v>
      </c>
      <c r="AP59" s="9">
        <f>SQRT((INDEX(US_2_x,44)-INDEX(US_2_x,39))^2+(INDEX(US_2_y,44)-INDEX(US_2_y,39))^2)</f>
        <v>40.45828098177183</v>
      </c>
      <c r="AQ59" s="9">
        <f>SQRT((INDEX(US_2_x,44)-INDEX(US_2_x,40))^2+(INDEX(US_2_y,44)-INDEX(US_2_y,40))^2)</f>
        <v>16.587525433288715</v>
      </c>
      <c r="AR59" s="9">
        <f>SQRT((INDEX(US_2_x,44)-INDEX(US_2_x,41))^2+(INDEX(US_2_y,44)-INDEX(US_2_y,41))^2)</f>
        <v>39.96795841671176</v>
      </c>
      <c r="AS59" s="9">
        <f>SQRT((INDEX(US_2_x,44)-INDEX(US_2_x,42))^2+(INDEX(US_2_y,44)-INDEX(US_2_y,42))^2)</f>
        <v>58.369982867909094</v>
      </c>
      <c r="AT59" s="9">
        <f>SQRT((INDEX(US_2_x,44)-INDEX(US_2_x,43))^2+(INDEX(US_2_y,44)-INDEX(US_2_y,43))^2)</f>
        <v>16.757210388367152</v>
      </c>
      <c r="AU59" s="9" t="s">
        <v>30</v>
      </c>
      <c r="AV59" s="9">
        <f>SQRT((INDEX(US_2_x,44)-INDEX(US_2_x,45))^2+(INDEX(US_2_y,44)-INDEX(US_2_y,45))^2)</f>
        <v>75.20104387573355</v>
      </c>
      <c r="AW59" s="9">
        <f>SQRT((INDEX(US_2_x,44)-INDEX(US_2_x,46))^2+(INDEX(US_2_y,44)-INDEX(US_2_y,46))^2)</f>
        <v>7.4385482454575875</v>
      </c>
      <c r="AX59" s="9">
        <f>SQRT((INDEX(US_2_x,44)-INDEX(US_2_x,47))^2+(INDEX(US_2_y,44)-INDEX(US_2_y,47))^2)</f>
        <v>23.240776665163324</v>
      </c>
      <c r="AY59" s="9">
        <f>SQRT((INDEX(US_2_x,44)-INDEX(US_2_x,48))^2+(INDEX(US_2_y,44)-INDEX(US_2_y,48))^2)</f>
        <v>46.69732861738453</v>
      </c>
      <c r="AZ59" s="9" t="s">
        <v>30</v>
      </c>
      <c r="BA59" s="34">
        <v>75.09</v>
      </c>
      <c r="BB59" s="34">
        <v>32.39</v>
      </c>
    </row>
    <row r="60" spans="3:54" ht="15" thickBot="1" thickTop="1">
      <c r="C60" s="4">
        <v>45</v>
      </c>
      <c r="D60" s="9">
        <f>SQRT((INDEX(US_2_x,45)-INDEX(US_2_x,1))^2+(INDEX(US_2_y,45)-INDEX(US_2_y,1))^2)</f>
        <v>68.34318181062396</v>
      </c>
      <c r="E60" s="9">
        <f>SQRT((INDEX(US_2_x,45)-INDEX(US_2_x,2))^2+(INDEX(US_2_y,45)-INDEX(US_2_y,2))^2)</f>
        <v>34.71208002986856</v>
      </c>
      <c r="F60" s="9">
        <f>SQRT((INDEX(US_2_x,45)-INDEX(US_2_x,3))^2+(INDEX(US_2_y,45)-INDEX(US_2_y,3))^2)</f>
        <v>56.60203529909503</v>
      </c>
      <c r="G60" s="9">
        <f>SQRT((INDEX(US_2_x,45)-INDEX(US_2_x,4))^2+(INDEX(US_2_y,45)-INDEX(US_2_y,4))^2)</f>
        <v>18.761945528116215</v>
      </c>
      <c r="H60" s="9">
        <f>SQRT((INDEX(US_2_x,45)-INDEX(US_2_x,5))^2+(INDEX(US_2_y,45)-INDEX(US_2_y,5))^2)</f>
        <v>32.40711033091349</v>
      </c>
      <c r="I60" s="9">
        <f>SQRT((INDEX(US_2_x,45)-INDEX(US_2_x,6))^2+(INDEX(US_2_y,45)-INDEX(US_2_y,6))^2)</f>
        <v>78.0417375511335</v>
      </c>
      <c r="J60" s="9">
        <f>SQRT((INDEX(US_2_x,45)-INDEX(US_2_x,7))^2+(INDEX(US_2_y,45)-INDEX(US_2_y,7))^2)</f>
        <v>76.34171140339993</v>
      </c>
      <c r="K60" s="9">
        <f>SQRT((INDEX(US_2_x,45)-INDEX(US_2_x,8))^2+(INDEX(US_2_y,45)-INDEX(US_2_y,8))^2)</f>
        <v>73.9036460534932</v>
      </c>
      <c r="L60" s="9">
        <f>SQRT((INDEX(US_2_x,45)-INDEX(US_2_x,9))^2+(INDEX(US_2_y,45)-INDEX(US_2_y,9))^2)</f>
        <v>69.3326943079526</v>
      </c>
      <c r="M60" s="20">
        <f>SQRT((INDEX(US_2_x,45)-INDEX(US_2_x,10))^2+(INDEX(US_2_y,45)-INDEX(US_2_y,10))^2)</f>
        <v>12.678852471734183</v>
      </c>
      <c r="N60" s="9">
        <f>SQRT((INDEX(US_2_x,45)-INDEX(US_2_x,11))^2+(INDEX(US_2_y,45)-INDEX(US_2_y,11))^2)</f>
        <v>54.58448863917294</v>
      </c>
      <c r="O60" s="9">
        <f>SQRT((INDEX(US_2_x,45)-INDEX(US_2_x,12))^2+(INDEX(US_2_y,45)-INDEX(US_2_y,12))^2)</f>
        <v>59.822445620352234</v>
      </c>
      <c r="P60" s="9">
        <f>SQRT((INDEX(US_2_x,45)-INDEX(US_2_x,13))^2+(INDEX(US_2_y,45)-INDEX(US_2_y,13))^2)</f>
        <v>46.96000425894359</v>
      </c>
      <c r="Q60" s="9">
        <f>SQRT((INDEX(US_2_x,45)-INDEX(US_2_x,14))^2+(INDEX(US_2_y,45)-INDEX(US_2_y,14))^2)</f>
        <v>46.46427121993844</v>
      </c>
      <c r="R60" s="9">
        <f>SQRT((INDEX(US_2_x,45)-INDEX(US_2_x,15))^2+(INDEX(US_2_y,45)-INDEX(US_2_y,15))^2)</f>
        <v>63.37003866181557</v>
      </c>
      <c r="S60" s="9">
        <f>SQRT((INDEX(US_2_x,45)-INDEX(US_2_x,16))^2+(INDEX(US_2_y,45)-INDEX(US_2_y,16))^2)</f>
        <v>64.1883618734736</v>
      </c>
      <c r="T60" s="9">
        <f>SQRT((INDEX(US_2_x,45)-INDEX(US_2_x,17))^2+(INDEX(US_2_y,45)-INDEX(US_2_y,17))^2)</f>
        <v>80.04078023107971</v>
      </c>
      <c r="U60" s="9">
        <f>SQRT((INDEX(US_2_x,45)-INDEX(US_2_x,18))^2+(INDEX(US_2_y,45)-INDEX(US_2_y,18))^2)</f>
        <v>75.07842566276948</v>
      </c>
      <c r="V60" s="9">
        <f>SQRT((INDEX(US_2_x,45)-INDEX(US_2_x,19))^2+(INDEX(US_2_y,45)-INDEX(US_2_y,19))^2)</f>
        <v>79.88710346482716</v>
      </c>
      <c r="W60" s="9">
        <f>SQRT((INDEX(US_2_x,45)-INDEX(US_2_x,20))^2+(INDEX(US_2_y,45)-INDEX(US_2_y,20))^2)</f>
        <v>59.56116603962686</v>
      </c>
      <c r="X60" s="9">
        <f>SQRT((INDEX(US_2_x,45)-INDEX(US_2_x,21))^2+(INDEX(US_2_y,45)-INDEX(US_2_y,21))^2)</f>
        <v>45.26364766564886</v>
      </c>
      <c r="Y60" s="9">
        <f>SQRT((INDEX(US_2_x,45)-INDEX(US_2_x,22))^2+(INDEX(US_2_y,45)-INDEX(US_2_y,22))^2)</f>
        <v>62.89088725721716</v>
      </c>
      <c r="Z60" s="9">
        <f>SQRT((INDEX(US_2_x,45)-INDEX(US_2_x,23))^2+(INDEX(US_2_y,45)-INDEX(US_2_y,23))^2)</f>
        <v>52.12461702497199</v>
      </c>
      <c r="AA60" s="9">
        <f>SQRT((INDEX(US_2_x,45)-INDEX(US_2_x,24))^2+(INDEX(US_2_y,45)-INDEX(US_2_y,24))^2)</f>
        <v>16.284403581341255</v>
      </c>
      <c r="AB60" s="9">
        <f>SQRT((INDEX(US_2_x,45)-INDEX(US_2_x,25))^2+(INDEX(US_2_y,45)-INDEX(US_2_y,25))^2)</f>
        <v>43.11557143306812</v>
      </c>
      <c r="AC60" s="9">
        <f>SQRT((INDEX(US_2_x,45)-INDEX(US_2_x,26))^2+(INDEX(US_2_y,45)-INDEX(US_2_y,26))^2)</f>
        <v>17.97533031685371</v>
      </c>
      <c r="AD60" s="9">
        <f>SQRT((INDEX(US_2_x,45)-INDEX(US_2_x,27))^2+(INDEX(US_2_y,45)-INDEX(US_2_y,27))^2)</f>
        <v>78.43435089296015</v>
      </c>
      <c r="AE60" s="9">
        <f>SQRT((INDEX(US_2_x,45)-INDEX(US_2_x,28))^2+(INDEX(US_2_y,45)-INDEX(US_2_y,28))^2)</f>
        <v>76.43231384695873</v>
      </c>
      <c r="AF60" s="9">
        <f>SQRT((INDEX(US_2_x,45)-INDEX(US_2_x,29))^2+(INDEX(US_2_y,45)-INDEX(US_2_y,29))^2)</f>
        <v>37.03550863698243</v>
      </c>
      <c r="AG60" s="9">
        <f>SQRT((INDEX(US_2_x,45)-INDEX(US_2_x,30))^2+(INDEX(US_2_y,45)-INDEX(US_2_y,30))^2)</f>
        <v>75.66628311209689</v>
      </c>
      <c r="AH60" s="9">
        <f>SQRT((INDEX(US_2_x,45)-INDEX(US_2_x,31))^2+(INDEX(US_2_y,45)-INDEX(US_2_y,31))^2)</f>
        <v>75.36036756810573</v>
      </c>
      <c r="AI60" s="9">
        <f>SQRT((INDEX(US_2_x,45)-INDEX(US_2_x,32))^2+(INDEX(US_2_y,45)-INDEX(US_2_y,32))^2)</f>
        <v>32.955828012659616</v>
      </c>
      <c r="AJ60" s="9">
        <f>SQRT((INDEX(US_2_x,45)-INDEX(US_2_x,33))^2+(INDEX(US_2_y,45)-INDEX(US_2_y,33))^2)</f>
        <v>64.35220664437236</v>
      </c>
      <c r="AK60" s="9">
        <f>SQRT((INDEX(US_2_x,45)-INDEX(US_2_x,34))^2+(INDEX(US_2_y,45)-INDEX(US_2_y,34))^2)</f>
        <v>48.2970889391897</v>
      </c>
      <c r="AL60" s="9">
        <f>SQRT((INDEX(US_2_x,45)-INDEX(US_2_x,35))^2+(INDEX(US_2_y,45)-INDEX(US_2_y,35))^2)</f>
        <v>4.601836589884523</v>
      </c>
      <c r="AM60" s="9">
        <f>SQRT((INDEX(US_2_x,45)-INDEX(US_2_x,36))^2+(INDEX(US_2_y,45)-INDEX(US_2_y,36))^2)</f>
        <v>73.21560830861137</v>
      </c>
      <c r="AN60" s="9">
        <f>SQRT((INDEX(US_2_x,45)-INDEX(US_2_x,37))^2+(INDEX(US_2_y,45)-INDEX(US_2_y,37))^2)</f>
        <v>79.85991798142545</v>
      </c>
      <c r="AO60" s="9">
        <f>SQRT((INDEX(US_2_x,45)-INDEX(US_2_x,38))^2+(INDEX(US_2_y,45)-INDEX(US_2_y,38))^2)</f>
        <v>73.9462967294509</v>
      </c>
      <c r="AP60" s="9">
        <f>SQRT((INDEX(US_2_x,45)-INDEX(US_2_x,39))^2+(INDEX(US_2_y,45)-INDEX(US_2_y,39))^2)</f>
        <v>34.77367538814383</v>
      </c>
      <c r="AQ60" s="9">
        <f>SQRT((INDEX(US_2_x,45)-INDEX(US_2_x,40))^2+(INDEX(US_2_y,45)-INDEX(US_2_y,40))^2)</f>
        <v>62.843298767649046</v>
      </c>
      <c r="AR60" s="9">
        <f>SQRT((INDEX(US_2_x,45)-INDEX(US_2_x,41))^2+(INDEX(US_2_y,45)-INDEX(US_2_y,41))^2)</f>
        <v>55.8407745290124</v>
      </c>
      <c r="AS60" s="9">
        <f>SQRT((INDEX(US_2_x,45)-INDEX(US_2_x,42))^2+(INDEX(US_2_y,45)-INDEX(US_2_y,42))^2)</f>
        <v>22.04151764284846</v>
      </c>
      <c r="AT60" s="9">
        <f>SQRT((INDEX(US_2_x,45)-INDEX(US_2_x,43))^2+(INDEX(US_2_y,45)-INDEX(US_2_y,43))^2)</f>
        <v>76.0227788231922</v>
      </c>
      <c r="AU60" s="9">
        <f>SQRT((INDEX(US_2_x,45)-INDEX(US_2_x,44))^2+(INDEX(US_2_y,45)-INDEX(US_2_y,44))^2)</f>
        <v>75.20104387573355</v>
      </c>
      <c r="AV60" s="9" t="s">
        <v>30</v>
      </c>
      <c r="AW60" s="9">
        <f>SQRT((INDEX(US_2_x,45)-INDEX(US_2_x,46))^2+(INDEX(US_2_y,45)-INDEX(US_2_y,46))^2)</f>
        <v>68.04388142955985</v>
      </c>
      <c r="AX60" s="9">
        <f>SQRT((INDEX(US_2_x,45)-INDEX(US_2_x,47))^2+(INDEX(US_2_y,45)-INDEX(US_2_y,47))^2)</f>
        <v>52.076241223805695</v>
      </c>
      <c r="AY60" s="9">
        <f>SQRT((INDEX(US_2_x,45)-INDEX(US_2_x,48))^2+(INDEX(US_2_y,45)-INDEX(US_2_y,48))^2)</f>
        <v>31.011167343394217</v>
      </c>
      <c r="AZ60" s="9" t="s">
        <v>30</v>
      </c>
      <c r="BA60" s="34">
        <v>0.1</v>
      </c>
      <c r="BB60" s="34">
        <v>26.76</v>
      </c>
    </row>
    <row r="61" spans="3:54" ht="15" thickBot="1" thickTop="1">
      <c r="C61" s="4">
        <v>46</v>
      </c>
      <c r="D61" s="9">
        <f>SQRT((INDEX(US_2_x,46)-INDEX(US_2_x,1))^2+(INDEX(US_2_y,46)-INDEX(US_2_y,1))^2)</f>
        <v>15.417292239560098</v>
      </c>
      <c r="E61" s="9">
        <f>SQRT((INDEX(US_2_x,46)-INDEX(US_2_x,2))^2+(INDEX(US_2_y,46)-INDEX(US_2_y,2))^2)</f>
        <v>54.60747659432726</v>
      </c>
      <c r="F61" s="9">
        <f>SQRT((INDEX(US_2_x,46)-INDEX(US_2_x,3))^2+(INDEX(US_2_y,46)-INDEX(US_2_y,3))^2)</f>
        <v>20.22990360827258</v>
      </c>
      <c r="G61" s="9">
        <f>SQRT((INDEX(US_2_x,46)-INDEX(US_2_x,4))^2+(INDEX(US_2_y,46)-INDEX(US_2_y,4))^2)</f>
        <v>67.57805856933149</v>
      </c>
      <c r="H61" s="9">
        <f>SQRT((INDEX(US_2_x,46)-INDEX(US_2_x,5))^2+(INDEX(US_2_y,46)-INDEX(US_2_y,5))^2)</f>
        <v>39.61745322455747</v>
      </c>
      <c r="I61" s="9">
        <f>SQRT((INDEX(US_2_x,46)-INDEX(US_2_x,6))^2+(INDEX(US_2_y,46)-INDEX(US_2_y,6))^2)</f>
        <v>16.696784121500762</v>
      </c>
      <c r="J61" s="9">
        <f>SQRT((INDEX(US_2_x,46)-INDEX(US_2_x,7))^2+(INDEX(US_2_y,46)-INDEX(US_2_y,7))^2)</f>
        <v>10.533209387456424</v>
      </c>
      <c r="K61" s="9">
        <f>SQRT((INDEX(US_2_x,46)-INDEX(US_2_x,8))^2+(INDEX(US_2_y,46)-INDEX(US_2_y,8))^2)</f>
        <v>17.84765810967927</v>
      </c>
      <c r="L61" s="9">
        <f>SQRT((INDEX(US_2_x,46)-INDEX(US_2_x,9))^2+(INDEX(US_2_y,46)-INDEX(US_2_y,9))^2)</f>
        <v>11.117306328423265</v>
      </c>
      <c r="M61" s="9">
        <f>SQRT((INDEX(US_2_x,46)-INDEX(US_2_x,10))^2+(INDEX(US_2_y,46)-INDEX(US_2_y,10))^2)</f>
        <v>57.72708289875732</v>
      </c>
      <c r="N61" s="9">
        <f>SQRT((INDEX(US_2_x,46)-INDEX(US_2_x,11))^2+(INDEX(US_2_y,46)-INDEX(US_2_y,11))^2)</f>
        <v>13.93804146930263</v>
      </c>
      <c r="O61" s="9">
        <f>SQRT((INDEX(US_2_x,46)-INDEX(US_2_x,12))^2+(INDEX(US_2_y,46)-INDEX(US_2_y,12))^2)</f>
        <v>8.267551027964682</v>
      </c>
      <c r="P61" s="9">
        <f>SQRT((INDEX(US_2_x,46)-INDEX(US_2_x,13))^2+(INDEX(US_2_y,46)-INDEX(US_2_y,13))^2)</f>
        <v>21.25079292638276</v>
      </c>
      <c r="Q61" s="9">
        <f>SQRT((INDEX(US_2_x,46)-INDEX(US_2_x,14))^2+(INDEX(US_2_y,46)-INDEX(US_2_y,14))^2)</f>
        <v>23.949507301821466</v>
      </c>
      <c r="R61" s="9">
        <f>SQRT((INDEX(US_2_x,46)-INDEX(US_2_x,15))^2+(INDEX(US_2_y,46)-INDEX(US_2_y,15))^2)</f>
        <v>5.547071299343461</v>
      </c>
      <c r="S61" s="9">
        <f>SQRT((INDEX(US_2_x,46)-INDEX(US_2_x,16))^2+(INDEX(US_2_y,46)-INDEX(US_2_y,16))^2)</f>
        <v>24.271332884701653</v>
      </c>
      <c r="T61" s="9">
        <f>SQRT((INDEX(US_2_x,46)-INDEX(US_2_x,17))^2+(INDEX(US_2_y,46)-INDEX(US_2_y,17))^2)</f>
        <v>23.3385882177993</v>
      </c>
      <c r="U61" s="9">
        <f>SQRT((INDEX(US_2_x,46)-INDEX(US_2_x,18))^2+(INDEX(US_2_y,46)-INDEX(US_2_y,18))^2)</f>
        <v>8.862471438599965</v>
      </c>
      <c r="V61" s="9">
        <f>SQRT((INDEX(US_2_x,46)-INDEX(US_2_x,19))^2+(INDEX(US_2_y,46)-INDEX(US_2_y,19))^2)</f>
        <v>19.61765786224237</v>
      </c>
      <c r="W61" s="9">
        <f>SQRT((INDEX(US_2_x,46)-INDEX(US_2_x,20))^2+(INDEX(US_2_y,46)-INDEX(US_2_y,20))^2)</f>
        <v>10.701742848713936</v>
      </c>
      <c r="X61" s="9">
        <f>SQRT((INDEX(US_2_x,46)-INDEX(US_2_x,21))^2+(INDEX(US_2_y,46)-INDEX(US_2_y,21))^2)</f>
        <v>23.542200406928824</v>
      </c>
      <c r="Y61" s="9">
        <f>SQRT((INDEX(US_2_x,46)-INDEX(US_2_x,22))^2+(INDEX(US_2_y,46)-INDEX(US_2_y,22))^2)</f>
        <v>20.110009945298383</v>
      </c>
      <c r="Z61" s="9">
        <f>SQRT((INDEX(US_2_x,46)-INDEX(US_2_x,23))^2+(INDEX(US_2_y,46)-INDEX(US_2_y,23))^2)</f>
        <v>18.00940032316456</v>
      </c>
      <c r="AA61" s="9">
        <f>SQRT((INDEX(US_2_x,46)-INDEX(US_2_x,24))^2+(INDEX(US_2_y,46)-INDEX(US_2_y,24))^2)</f>
        <v>51.772707095534415</v>
      </c>
      <c r="AB61" s="9">
        <f>SQRT((INDEX(US_2_x,46)-INDEX(US_2_x,25))^2+(INDEX(US_2_y,46)-INDEX(US_2_y,25))^2)</f>
        <v>25.884823739017417</v>
      </c>
      <c r="AC61" s="9">
        <f>SQRT((INDEX(US_2_x,46)-INDEX(US_2_x,26))^2+(INDEX(US_2_y,46)-INDEX(US_2_y,26))^2)</f>
        <v>64.45897377402156</v>
      </c>
      <c r="AD61" s="9">
        <f>SQRT((INDEX(US_2_x,46)-INDEX(US_2_x,27))^2+(INDEX(US_2_y,46)-INDEX(US_2_y,27))^2)</f>
        <v>19.732663276912216</v>
      </c>
      <c r="AE61" s="9">
        <f>SQRT((INDEX(US_2_x,46)-INDEX(US_2_x,28))^2+(INDEX(US_2_y,46)-INDEX(US_2_y,28))^2)</f>
        <v>12.308127396155765</v>
      </c>
      <c r="AF61" s="9">
        <f>SQRT((INDEX(US_2_x,46)-INDEX(US_2_x,29))^2+(INDEX(US_2_y,46)-INDEX(US_2_y,29))^2)</f>
        <v>42.639264768520576</v>
      </c>
      <c r="AG61" s="9">
        <f>SQRT((INDEX(US_2_x,46)-INDEX(US_2_x,30))^2+(INDEX(US_2_y,46)-INDEX(US_2_y,30))^2)</f>
        <v>16.081647925508136</v>
      </c>
      <c r="AH61" s="9">
        <f>SQRT((INDEX(US_2_x,46)-INDEX(US_2_x,31))^2+(INDEX(US_2_y,46)-INDEX(US_2_y,31))^2)</f>
        <v>7.625667183925622</v>
      </c>
      <c r="AI61" s="9">
        <f>SQRT((INDEX(US_2_x,46)-INDEX(US_2_x,32))^2+(INDEX(US_2_y,46)-INDEX(US_2_y,32))^2)</f>
        <v>35.75638124866664</v>
      </c>
      <c r="AJ61" s="9">
        <f>SQRT((INDEX(US_2_x,46)-INDEX(US_2_x,33))^2+(INDEX(US_2_y,46)-INDEX(US_2_y,33))^2)</f>
        <v>4.213798761212964</v>
      </c>
      <c r="AK61" s="9">
        <f>SQRT((INDEX(US_2_x,46)-INDEX(US_2_x,34))^2+(INDEX(US_2_y,46)-INDEX(US_2_y,34))^2)</f>
        <v>28.38595779606529</v>
      </c>
      <c r="AL61" s="9">
        <f>SQRT((INDEX(US_2_x,46)-INDEX(US_2_x,35))^2+(INDEX(US_2_y,46)-INDEX(US_2_y,35))^2)</f>
        <v>68.28351558026284</v>
      </c>
      <c r="AM61" s="20">
        <f>SQRT((INDEX(US_2_x,46)-INDEX(US_2_x,36))^2+(INDEX(US_2_y,46)-INDEX(US_2_y,36))^2)</f>
        <v>9.01264112233479</v>
      </c>
      <c r="AN61" s="9">
        <f>SQRT((INDEX(US_2_x,46)-INDEX(US_2_x,37))^2+(INDEX(US_2_y,46)-INDEX(US_2_y,37))^2)</f>
        <v>18.65054690887107</v>
      </c>
      <c r="AO61" s="9">
        <f>SQRT((INDEX(US_2_x,46)-INDEX(US_2_x,38))^2+(INDEX(US_2_y,46)-INDEX(US_2_y,38))^2)</f>
        <v>9.503820284496129</v>
      </c>
      <c r="AP61" s="9">
        <f>SQRT((INDEX(US_2_x,46)-INDEX(US_2_x,39))^2+(INDEX(US_2_y,46)-INDEX(US_2_y,39))^2)</f>
        <v>33.27044484223196</v>
      </c>
      <c r="AQ61" s="9">
        <f>SQRT((INDEX(US_2_x,46)-INDEX(US_2_x,40))^2+(INDEX(US_2_y,46)-INDEX(US_2_y,40))^2)</f>
        <v>10.116619988909333</v>
      </c>
      <c r="AR61" s="9">
        <f>SQRT((INDEX(US_2_x,46)-INDEX(US_2_x,41))^2+(INDEX(US_2_y,46)-INDEX(US_2_y,41))^2)</f>
        <v>33.851577511247534</v>
      </c>
      <c r="AS61" s="9">
        <f>SQRT((INDEX(US_2_x,46)-INDEX(US_2_x,42))^2+(INDEX(US_2_y,46)-INDEX(US_2_y,42))^2)</f>
        <v>50.94080584364562</v>
      </c>
      <c r="AT61" s="9">
        <f>SQRT((INDEX(US_2_x,46)-INDEX(US_2_x,43))^2+(INDEX(US_2_y,46)-INDEX(US_2_y,43))^2)</f>
        <v>19.638138913858413</v>
      </c>
      <c r="AU61" s="9">
        <f>SQRT((INDEX(US_2_x,46)-INDEX(US_2_x,44))^2+(INDEX(US_2_y,46)-INDEX(US_2_y,44))^2)</f>
        <v>7.4385482454575875</v>
      </c>
      <c r="AV61" s="9">
        <f>SQRT((INDEX(US_2_x,46)-INDEX(US_2_x,45))^2+(INDEX(US_2_y,46)-INDEX(US_2_y,45))^2)</f>
        <v>68.04388142955985</v>
      </c>
      <c r="AW61" s="9" t="s">
        <v>30</v>
      </c>
      <c r="AX61" s="9">
        <f>SQRT((INDEX(US_2_x,46)-INDEX(US_2_x,47))^2+(INDEX(US_2_y,46)-INDEX(US_2_y,47))^2)</f>
        <v>16.43505095824165</v>
      </c>
      <c r="AY61" s="9">
        <f>SQRT((INDEX(US_2_x,46)-INDEX(US_2_x,48))^2+(INDEX(US_2_y,46)-INDEX(US_2_y,48))^2)</f>
        <v>39.272454723380854</v>
      </c>
      <c r="AZ61" s="9" t="s">
        <v>30</v>
      </c>
      <c r="BA61" s="34">
        <v>68.07</v>
      </c>
      <c r="BB61" s="34">
        <v>29.93</v>
      </c>
    </row>
    <row r="62" spans="3:54" ht="15" thickBot="1" thickTop="1">
      <c r="C62" s="4">
        <v>47</v>
      </c>
      <c r="D62" s="9">
        <f>SQRT((INDEX(US_2_x,47)-INDEX(US_2_x,1))^2+(INDEX(US_2_y,47)-INDEX(US_2_y,1))^2)</f>
        <v>23.78534422706554</v>
      </c>
      <c r="E62" s="9">
        <f>SQRT((INDEX(US_2_x,47)-INDEX(US_2_x,2))^2+(INDEX(US_2_y,47)-INDEX(US_2_y,2))^2)</f>
        <v>43.890554792574676</v>
      </c>
      <c r="F62" s="9">
        <f>SQRT((INDEX(US_2_x,47)-INDEX(US_2_x,3))^2+(INDEX(US_2_y,47)-INDEX(US_2_y,3))^2)</f>
        <v>18.66167463010755</v>
      </c>
      <c r="G62" s="9">
        <f>SQRT((INDEX(US_2_x,47)-INDEX(US_2_x,4))^2+(INDEX(US_2_y,47)-INDEX(US_2_y,4))^2)</f>
        <v>53.59901584917395</v>
      </c>
      <c r="H62" s="9">
        <f>SQRT((INDEX(US_2_x,47)-INDEX(US_2_x,5))^2+(INDEX(US_2_y,47)-INDEX(US_2_y,5))^2)</f>
        <v>26.509630325600543</v>
      </c>
      <c r="I62" s="9">
        <f>SQRT((INDEX(US_2_x,47)-INDEX(US_2_x,6))^2+(INDEX(US_2_y,47)-INDEX(US_2_y,6))^2)</f>
        <v>27.038729629921594</v>
      </c>
      <c r="J62" s="9">
        <f>SQRT((INDEX(US_2_x,47)-INDEX(US_2_x,7))^2+(INDEX(US_2_y,47)-INDEX(US_2_y,7))^2)</f>
        <v>24.31523802063225</v>
      </c>
      <c r="K62" s="9">
        <f>SQRT((INDEX(US_2_x,47)-INDEX(US_2_x,8))^2+(INDEX(US_2_y,47)-INDEX(US_2_y,8))^2)</f>
        <v>28.7862814548875</v>
      </c>
      <c r="L62" s="9">
        <f>SQRT((INDEX(US_2_x,47)-INDEX(US_2_x,9))^2+(INDEX(US_2_y,47)-INDEX(US_2_y,9))^2)</f>
        <v>21.953355096658914</v>
      </c>
      <c r="M62" s="9">
        <f>SQRT((INDEX(US_2_x,47)-INDEX(US_2_x,10))^2+(INDEX(US_2_y,47)-INDEX(US_2_y,10))^2)</f>
        <v>42.486480202530316</v>
      </c>
      <c r="N62" s="9">
        <f>SQRT((INDEX(US_2_x,47)-INDEX(US_2_x,11))^2+(INDEX(US_2_y,47)-INDEX(US_2_y,11))^2)</f>
        <v>7.107693015317979</v>
      </c>
      <c r="O62" s="9">
        <f>SQRT((INDEX(US_2_x,47)-INDEX(US_2_x,12))^2+(INDEX(US_2_y,47)-INDEX(US_2_y,12))^2)</f>
        <v>8.914263850705787</v>
      </c>
      <c r="P62" s="9">
        <f>SQRT((INDEX(US_2_x,47)-INDEX(US_2_x,13))^2+(INDEX(US_2_y,47)-INDEX(US_2_y,13))^2)</f>
        <v>7.553125181009513</v>
      </c>
      <c r="Q62" s="9">
        <f>SQRT((INDEX(US_2_x,47)-INDEX(US_2_x,14))^2+(INDEX(US_2_y,47)-INDEX(US_2_y,14))^2)</f>
        <v>13.505769137668539</v>
      </c>
      <c r="R62" s="9">
        <f>SQRT((INDEX(US_2_x,47)-INDEX(US_2_x,15))^2+(INDEX(US_2_y,47)-INDEX(US_2_y,15))^2)</f>
        <v>12.964833203709176</v>
      </c>
      <c r="S62" s="9">
        <f>SQRT((INDEX(US_2_x,47)-INDEX(US_2_x,16))^2+(INDEX(US_2_y,47)-INDEX(US_2_y,16))^2)</f>
        <v>27.482730941447574</v>
      </c>
      <c r="T62" s="9">
        <f>SQRT((INDEX(US_2_x,47)-INDEX(US_2_x,17))^2+(INDEX(US_2_y,47)-INDEX(US_2_y,17))^2)</f>
        <v>30.975719523523583</v>
      </c>
      <c r="U62" s="9">
        <f>SQRT((INDEX(US_2_x,47)-INDEX(US_2_x,18))^2+(INDEX(US_2_y,47)-INDEX(US_2_y,18))^2)</f>
        <v>23.01076487212018</v>
      </c>
      <c r="V62" s="9">
        <f>SQRT((INDEX(US_2_x,47)-INDEX(US_2_x,19))^2+(INDEX(US_2_y,47)-INDEX(US_2_y,19))^2)</f>
        <v>29.382705797798806</v>
      </c>
      <c r="W62" s="20">
        <f>SQRT((INDEX(US_2_x,47)-INDEX(US_2_x,20))^2+(INDEX(US_2_y,47)-INDEX(US_2_y,20))^2)</f>
        <v>7.765526382673617</v>
      </c>
      <c r="X62" s="9">
        <f>SQRT((INDEX(US_2_x,47)-INDEX(US_2_x,21))^2+(INDEX(US_2_y,47)-INDEX(US_2_y,21))^2)</f>
        <v>7.107214644289283</v>
      </c>
      <c r="Y62" s="9">
        <f>SQRT((INDEX(US_2_x,47)-INDEX(US_2_x,22))^2+(INDEX(US_2_y,47)-INDEX(US_2_y,22))^2)</f>
        <v>23.351573822764063</v>
      </c>
      <c r="Z62" s="9">
        <f>SQRT((INDEX(US_2_x,47)-INDEX(US_2_x,23))^2+(INDEX(US_2_y,47)-INDEX(US_2_y,23))^2)</f>
        <v>10.760910742125871</v>
      </c>
      <c r="AA62" s="9">
        <f>SQRT((INDEX(US_2_x,47)-INDEX(US_2_x,24))^2+(INDEX(US_2_y,47)-INDEX(US_2_y,24))^2)</f>
        <v>35.80266051566559</v>
      </c>
      <c r="AB62" s="9">
        <f>SQRT((INDEX(US_2_x,47)-INDEX(US_2_x,25))^2+(INDEX(US_2_y,47)-INDEX(US_2_y,25))^2)</f>
        <v>12.833471860724206</v>
      </c>
      <c r="AC62" s="9">
        <f>SQRT((INDEX(US_2_x,47)-INDEX(US_2_x,26))^2+(INDEX(US_2_y,47)-INDEX(US_2_y,26))^2)</f>
        <v>50.409923626206776</v>
      </c>
      <c r="AD62" s="9">
        <f>SQRT((INDEX(US_2_x,47)-INDEX(US_2_x,27))^2+(INDEX(US_2_y,47)-INDEX(US_2_y,27))^2)</f>
        <v>28.378902374827675</v>
      </c>
      <c r="AE62" s="9">
        <f>SQRT((INDEX(US_2_x,47)-INDEX(US_2_x,28))^2+(INDEX(US_2_y,47)-INDEX(US_2_y,28))^2)</f>
        <v>24.644400986836743</v>
      </c>
      <c r="AF62" s="9">
        <f>SQRT((INDEX(US_2_x,47)-INDEX(US_2_x,29))^2+(INDEX(US_2_y,47)-INDEX(US_2_y,29))^2)</f>
        <v>32.08125309273315</v>
      </c>
      <c r="AG62" s="9">
        <f>SQRT((INDEX(US_2_x,47)-INDEX(US_2_x,30))^2+(INDEX(US_2_y,47)-INDEX(US_2_y,30))^2)</f>
        <v>25.006785079253987</v>
      </c>
      <c r="AH62" s="9">
        <f>SQRT((INDEX(US_2_x,47)-INDEX(US_2_x,31))^2+(INDEX(US_2_y,47)-INDEX(US_2_y,31))^2)</f>
        <v>24.03840468916355</v>
      </c>
      <c r="AI62" s="9">
        <f>SQRT((INDEX(US_2_x,47)-INDEX(US_2_x,32))^2+(INDEX(US_2_y,47)-INDEX(US_2_y,32))^2)</f>
        <v>19.405692463810713</v>
      </c>
      <c r="AJ62" s="9">
        <f>SQRT((INDEX(US_2_x,47)-INDEX(US_2_x,33))^2+(INDEX(US_2_y,47)-INDEX(US_2_y,33))^2)</f>
        <v>12.439075528350171</v>
      </c>
      <c r="AK62" s="9">
        <f>SQRT((INDEX(US_2_x,47)-INDEX(US_2_x,34))^2+(INDEX(US_2_y,47)-INDEX(US_2_y,34))^2)</f>
        <v>21.39282356305497</v>
      </c>
      <c r="AL62" s="9">
        <f>SQRT((INDEX(US_2_x,47)-INDEX(US_2_x,35))^2+(INDEX(US_2_y,47)-INDEX(US_2_y,35))^2)</f>
        <v>52.66118874465331</v>
      </c>
      <c r="AM62" s="9">
        <f>SQRT((INDEX(US_2_x,47)-INDEX(US_2_x,36))^2+(INDEX(US_2_y,47)-INDEX(US_2_y,36))^2)</f>
        <v>21.277711343093273</v>
      </c>
      <c r="AN62" s="9">
        <f>SQRT((INDEX(US_2_x,47)-INDEX(US_2_x,37))^2+(INDEX(US_2_y,47)-INDEX(US_2_y,37))^2)</f>
        <v>29.03187558529418</v>
      </c>
      <c r="AO62" s="9">
        <f>SQRT((INDEX(US_2_x,47)-INDEX(US_2_x,38))^2+(INDEX(US_2_y,47)-INDEX(US_2_y,38))^2)</f>
        <v>24.28794968703616</v>
      </c>
      <c r="AP62" s="9">
        <f>SQRT((INDEX(US_2_x,47)-INDEX(US_2_x,39))^2+(INDEX(US_2_y,47)-INDEX(US_2_y,39))^2)</f>
        <v>17.542639482130387</v>
      </c>
      <c r="AQ62" s="9">
        <f>SQRT((INDEX(US_2_x,47)-INDEX(US_2_x,40))^2+(INDEX(US_2_y,47)-INDEX(US_2_y,40))^2)</f>
        <v>15.622179745477258</v>
      </c>
      <c r="AR62" s="9">
        <f>SQRT((INDEX(US_2_x,47)-INDEX(US_2_x,41))^2+(INDEX(US_2_y,47)-INDEX(US_2_y,41))^2)</f>
        <v>31.244077838848117</v>
      </c>
      <c r="AS62" s="9">
        <f>SQRT((INDEX(US_2_x,47)-INDEX(US_2_x,42))^2+(INDEX(US_2_y,47)-INDEX(US_2_y,42))^2)</f>
        <v>36.79549157165861</v>
      </c>
      <c r="AT62" s="9">
        <f>SQRT((INDEX(US_2_x,47)-INDEX(US_2_x,43))^2+(INDEX(US_2_y,47)-INDEX(US_2_y,43))^2)</f>
        <v>26.611850743606688</v>
      </c>
      <c r="AU62" s="9">
        <f>SQRT((INDEX(US_2_x,47)-INDEX(US_2_x,44))^2+(INDEX(US_2_y,47)-INDEX(US_2_y,44))^2)</f>
        <v>23.240776665163324</v>
      </c>
      <c r="AV62" s="9">
        <f>SQRT((INDEX(US_2_x,47)-INDEX(US_2_x,45))^2+(INDEX(US_2_y,47)-INDEX(US_2_y,45))^2)</f>
        <v>52.076241223805695</v>
      </c>
      <c r="AW62" s="9">
        <f>SQRT((INDEX(US_2_x,47)-INDEX(US_2_x,46))^2+(INDEX(US_2_y,47)-INDEX(US_2_y,46))^2)</f>
        <v>16.43505095824165</v>
      </c>
      <c r="AX62" s="9" t="s">
        <v>30</v>
      </c>
      <c r="AY62" s="9">
        <f>SQRT((INDEX(US_2_x,47)-INDEX(US_2_x,48))^2+(INDEX(US_2_y,47)-INDEX(US_2_y,48))^2)</f>
        <v>25.310274593532167</v>
      </c>
      <c r="AZ62" s="9" t="s">
        <v>30</v>
      </c>
      <c r="BA62" s="34">
        <v>51.85</v>
      </c>
      <c r="BB62" s="34">
        <v>32.58</v>
      </c>
    </row>
    <row r="63" spans="3:54" ht="15" thickBot="1" thickTop="1">
      <c r="C63" s="4">
        <v>48</v>
      </c>
      <c r="D63" s="9">
        <f>SQRT((INDEX(US_2_x,48)-INDEX(US_2_x,1))^2+(INDEX(US_2_y,48)-INDEX(US_2_y,1))^2)</f>
        <v>37.43079213695591</v>
      </c>
      <c r="E63" s="9">
        <f>SQRT((INDEX(US_2_x,48)-INDEX(US_2_x,2))^2+(INDEX(US_2_y,48)-INDEX(US_2_y,2))^2)</f>
        <v>20.872766946430463</v>
      </c>
      <c r="F63" s="9">
        <f>SQRT((INDEX(US_2_x,48)-INDEX(US_2_x,3))^2+(INDEX(US_2_y,48)-INDEX(US_2_y,3))^2)</f>
        <v>25.59955663678572</v>
      </c>
      <c r="G63" s="9">
        <f>SQRT((INDEX(US_2_x,48)-INDEX(US_2_x,4))^2+(INDEX(US_2_y,48)-INDEX(US_2_y,4))^2)</f>
        <v>28.437800547862345</v>
      </c>
      <c r="H63" s="20">
        <f>SQRT((INDEX(US_2_x,48)-INDEX(US_2_x,5))^2+(INDEX(US_2_y,48)-INDEX(US_2_y,5))^2)</f>
        <v>3.0378446306550972</v>
      </c>
      <c r="I63" s="9">
        <f>SQRT((INDEX(US_2_x,48)-INDEX(US_2_x,6))^2+(INDEX(US_2_y,48)-INDEX(US_2_y,6))^2)</f>
        <v>52.29959942485219</v>
      </c>
      <c r="J63" s="9">
        <f>SQRT((INDEX(US_2_x,48)-INDEX(US_2_x,7))^2+(INDEX(US_2_y,48)-INDEX(US_2_y,7))^2)</f>
        <v>48.83602768448719</v>
      </c>
      <c r="K63" s="9">
        <f>SQRT((INDEX(US_2_x,48)-INDEX(US_2_x,8))^2+(INDEX(US_2_y,48)-INDEX(US_2_y,8))^2)</f>
        <v>42.952112870032366</v>
      </c>
      <c r="L63" s="9">
        <f>SQRT((INDEX(US_2_x,48)-INDEX(US_2_x,9))^2+(INDEX(US_2_y,48)-INDEX(US_2_y,9))^2)</f>
        <v>38.754192031314496</v>
      </c>
      <c r="M63" s="9">
        <f>SQRT((INDEX(US_2_x,48)-INDEX(US_2_x,10))^2+(INDEX(US_2_y,48)-INDEX(US_2_y,10))^2)</f>
        <v>19.139932079294326</v>
      </c>
      <c r="N63" s="9">
        <f>SQRT((INDEX(US_2_x,48)-INDEX(US_2_x,11))^2+(INDEX(US_2_y,48)-INDEX(US_2_y,11))^2)</f>
        <v>25.335589592508008</v>
      </c>
      <c r="O63" s="9">
        <f>SQRT((INDEX(US_2_x,48)-INDEX(US_2_x,12))^2+(INDEX(US_2_y,48)-INDEX(US_2_y,12))^2)</f>
        <v>31.08684126764892</v>
      </c>
      <c r="P63" s="9">
        <f>SQRT((INDEX(US_2_x,48)-INDEX(US_2_x,13))^2+(INDEX(US_2_y,48)-INDEX(US_2_y,13))^2)</f>
        <v>18.35296433822068</v>
      </c>
      <c r="Q63" s="9">
        <f>SQRT((INDEX(US_2_x,48)-INDEX(US_2_x,14))^2+(INDEX(US_2_y,48)-INDEX(US_2_y,14))^2)</f>
        <v>15.91719196340862</v>
      </c>
      <c r="R63" s="9">
        <f>SQRT((INDEX(US_2_x,48)-INDEX(US_2_x,15))^2+(INDEX(US_2_y,48)-INDEX(US_2_y,15))^2)</f>
        <v>34.05592019018132</v>
      </c>
      <c r="S63" s="9">
        <f>SQRT((INDEX(US_2_x,48)-INDEX(US_2_x,16))^2+(INDEX(US_2_y,48)-INDEX(US_2_y,16))^2)</f>
        <v>33.3640300323567</v>
      </c>
      <c r="T63" s="9">
        <f>SQRT((INDEX(US_2_x,48)-INDEX(US_2_x,17))^2+(INDEX(US_2_y,48)-INDEX(US_2_y,17))^2)</f>
        <v>56.17856174734273</v>
      </c>
      <c r="U63" s="9">
        <f>SQRT((INDEX(US_2_x,48)-INDEX(US_2_x,18))^2+(INDEX(US_2_y,48)-INDEX(US_2_y,18))^2)</f>
        <v>47.350422384599696</v>
      </c>
      <c r="V63" s="9">
        <f>SQRT((INDEX(US_2_x,48)-INDEX(US_2_x,19))^2+(INDEX(US_2_y,48)-INDEX(US_2_y,19))^2)</f>
        <v>54.688794098974235</v>
      </c>
      <c r="W63" s="9">
        <f>SQRT((INDEX(US_2_x,48)-INDEX(US_2_x,20))^2+(INDEX(US_2_y,48)-INDEX(US_2_y,20))^2)</f>
        <v>33.01255821653329</v>
      </c>
      <c r="X63" s="9">
        <f>SQRT((INDEX(US_2_x,48)-INDEX(US_2_x,21))^2+(INDEX(US_2_y,48)-INDEX(US_2_y,21))^2)</f>
        <v>20.415506361587013</v>
      </c>
      <c r="Y63" s="9">
        <f>SQRT((INDEX(US_2_x,48)-INDEX(US_2_x,22))^2+(INDEX(US_2_y,48)-INDEX(US_2_y,22))^2)</f>
        <v>31.884648343677867</v>
      </c>
      <c r="Z63" s="9">
        <f>SQRT((INDEX(US_2_x,48)-INDEX(US_2_x,23))^2+(INDEX(US_2_y,48)-INDEX(US_2_y,23))^2)</f>
        <v>21.8919528594413</v>
      </c>
      <c r="AA63" s="9">
        <f>SQRT((INDEX(US_2_x,48)-INDEX(US_2_x,24))^2+(INDEX(US_2_y,48)-INDEX(US_2_y,24))^2)</f>
        <v>16.382273956932842</v>
      </c>
      <c r="AB63" s="9">
        <f>SQRT((INDEX(US_2_x,48)-INDEX(US_2_x,25))^2+(INDEX(US_2_y,48)-INDEX(US_2_y,25))^2)</f>
        <v>13.390504098053963</v>
      </c>
      <c r="AC63" s="9">
        <f>SQRT((INDEX(US_2_x,48)-INDEX(US_2_x,26))^2+(INDEX(US_2_y,48)-INDEX(US_2_y,26))^2)</f>
        <v>25.276866894455097</v>
      </c>
      <c r="AD63" s="9">
        <f>SQRT((INDEX(US_2_x,48)-INDEX(US_2_x,27))^2+(INDEX(US_2_y,48)-INDEX(US_2_y,27))^2)</f>
        <v>53.68067901955041</v>
      </c>
      <c r="AE63" s="9">
        <f>SQRT((INDEX(US_2_x,48)-INDEX(US_2_x,28))^2+(INDEX(US_2_y,48)-INDEX(US_2_y,28))^2)</f>
        <v>49.56797857488239</v>
      </c>
      <c r="AF63" s="9">
        <f>SQRT((INDEX(US_2_x,48)-INDEX(US_2_x,29))^2+(INDEX(US_2_y,48)-INDEX(US_2_y,29))^2)</f>
        <v>11.959565209488181</v>
      </c>
      <c r="AG63" s="9">
        <f>SQRT((INDEX(US_2_x,48)-INDEX(US_2_x,30))^2+(INDEX(US_2_y,48)-INDEX(US_2_y,30))^2)</f>
        <v>50.31335508590139</v>
      </c>
      <c r="AH63" s="9">
        <f>SQRT((INDEX(US_2_x,48)-INDEX(US_2_x,31))^2+(INDEX(US_2_y,48)-INDEX(US_2_y,31))^2)</f>
        <v>46.028648687529376</v>
      </c>
      <c r="AI63" s="9">
        <f>SQRT((INDEX(US_2_x,48)-INDEX(US_2_x,32))^2+(INDEX(US_2_y,48)-INDEX(US_2_y,32))^2)</f>
        <v>13.809608973464814</v>
      </c>
      <c r="AJ63" s="9">
        <f>SQRT((INDEX(US_2_x,48)-INDEX(US_2_x,33))^2+(INDEX(US_2_y,48)-INDEX(US_2_y,33))^2)</f>
        <v>36.18807814736782</v>
      </c>
      <c r="AK63" s="9">
        <f>SQRT((INDEX(US_2_x,48)-INDEX(US_2_x,34))^2+(INDEX(US_2_y,48)-INDEX(US_2_y,34))^2)</f>
        <v>17.509314663915315</v>
      </c>
      <c r="AL63" s="9">
        <f>SQRT((INDEX(US_2_x,48)-INDEX(US_2_x,35))^2+(INDEX(US_2_y,48)-INDEX(US_2_y,35))^2)</f>
        <v>30.124866804684796</v>
      </c>
      <c r="AM63" s="9">
        <f>SQRT((INDEX(US_2_x,48)-INDEX(US_2_x,36))^2+(INDEX(US_2_y,48)-INDEX(US_2_y,36))^2)</f>
        <v>46.070808545108044</v>
      </c>
      <c r="AN63" s="9">
        <f>SQRT((INDEX(US_2_x,48)-INDEX(US_2_x,37))^2+(INDEX(US_2_y,48)-INDEX(US_2_y,37))^2)</f>
        <v>54.31070796813461</v>
      </c>
      <c r="AO63" s="9">
        <f>SQRT((INDEX(US_2_x,48)-INDEX(US_2_x,38))^2+(INDEX(US_2_y,48)-INDEX(US_2_y,38))^2)</f>
        <v>43.794251905929386</v>
      </c>
      <c r="AP63" s="9">
        <f>SQRT((INDEX(US_2_x,48)-INDEX(US_2_x,39))^2+(INDEX(US_2_y,48)-INDEX(US_2_y,39))^2)</f>
        <v>9.996449369651206</v>
      </c>
      <c r="AQ63" s="9">
        <f>SQRT((INDEX(US_2_x,48)-INDEX(US_2_x,40))^2+(INDEX(US_2_y,48)-INDEX(US_2_y,40))^2)</f>
        <v>32.53729091365783</v>
      </c>
      <c r="AR63" s="9">
        <f>SQRT((INDEX(US_2_x,48)-INDEX(US_2_x,41))^2+(INDEX(US_2_y,48)-INDEX(US_2_y,41))^2)</f>
        <v>26.63953453046806</v>
      </c>
      <c r="AS63" s="9">
        <f>SQRT((INDEX(US_2_x,48)-INDEX(US_2_x,42))^2+(INDEX(US_2_y,48)-INDEX(US_2_y,42))^2)</f>
        <v>11.681515312663851</v>
      </c>
      <c r="AT63" s="9">
        <f>SQRT((INDEX(US_2_x,48)-INDEX(US_2_x,43))^2+(INDEX(US_2_y,48)-INDEX(US_2_y,43))^2)</f>
        <v>51.83232389156403</v>
      </c>
      <c r="AU63" s="9">
        <f>SQRT((INDEX(US_2_x,48)-INDEX(US_2_x,44))^2+(INDEX(US_2_y,48)-INDEX(US_2_y,44))^2)</f>
        <v>46.69732861738453</v>
      </c>
      <c r="AV63" s="9">
        <f>SQRT((INDEX(US_2_x,48)-INDEX(US_2_x,45))^2+(INDEX(US_2_y,48)-INDEX(US_2_y,45))^2)</f>
        <v>31.011167343394217</v>
      </c>
      <c r="AW63" s="9">
        <f>SQRT((INDEX(US_2_x,48)-INDEX(US_2_x,46))^2+(INDEX(US_2_y,48)-INDEX(US_2_y,46))^2)</f>
        <v>39.272454723380854</v>
      </c>
      <c r="AX63" s="9">
        <f>SQRT((INDEX(US_2_x,48)-INDEX(US_2_x,47))^2+(INDEX(US_2_y,48)-INDEX(US_2_y,47))^2)</f>
        <v>25.310274593532167</v>
      </c>
      <c r="AY63" s="9" t="s">
        <v>30</v>
      </c>
      <c r="AZ63" s="9" t="s">
        <v>30</v>
      </c>
      <c r="BA63" s="34">
        <v>30.23</v>
      </c>
      <c r="BB63" s="34">
        <v>19.42</v>
      </c>
    </row>
    <row r="64" spans="3:54" ht="15" thickBot="1" thickTop="1">
      <c r="C64" s="4">
        <v>49</v>
      </c>
      <c r="D64" s="9" t="s">
        <v>30</v>
      </c>
      <c r="E64" s="9">
        <f>SQRT((INDEX(US_2_x,49)-INDEX(US_2_x,2))^2+(INDEX(US_2_y,49)-INDEX(US_2_y,2))^2)</f>
        <v>47.26653149957166</v>
      </c>
      <c r="F64" s="9">
        <f>SQRT((INDEX(US_2_x,49)-INDEX(US_2_x,3))^2+(INDEX(US_2_y,49)-INDEX(US_2_y,3))^2)</f>
        <v>12.043492018513573</v>
      </c>
      <c r="G64" s="9">
        <f>SQRT((INDEX(US_2_x,49)-INDEX(US_2_x,4))^2+(INDEX(US_2_y,49)-INDEX(US_2_y,4))^2)</f>
        <v>63.62502102160754</v>
      </c>
      <c r="H64" s="9">
        <f>SQRT((INDEX(US_2_x,49)-INDEX(US_2_x,5))^2+(INDEX(US_2_y,49)-INDEX(US_2_y,5))^2)</f>
        <v>36.569912496477215</v>
      </c>
      <c r="I64" s="9">
        <f>SQRT((INDEX(US_2_x,49)-INDEX(US_2_x,6))^2+(INDEX(US_2_y,49)-INDEX(US_2_y,6))^2)</f>
        <v>31.295208898487957</v>
      </c>
      <c r="J64" s="9">
        <f>SQRT((INDEX(US_2_x,49)-INDEX(US_2_x,7))^2+(INDEX(US_2_y,49)-INDEX(US_2_y,7))^2)</f>
        <v>24.135223222502</v>
      </c>
      <c r="K64" s="9">
        <f>SQRT((INDEX(US_2_x,49)-INDEX(US_2_x,8))^2+(INDEX(US_2_y,49)-INDEX(US_2_y,8))^2)</f>
        <v>5.623041881401918</v>
      </c>
      <c r="L64" s="9">
        <f>SQRT((INDEX(US_2_x,49)-INDEX(US_2_x,9))^2+(INDEX(US_2_y,49)-INDEX(US_2_y,9))^2)</f>
        <v>4.620822437618656</v>
      </c>
      <c r="M64" s="9">
        <f>SQRT((INDEX(US_2_x,49)-INDEX(US_2_x,10))^2+(INDEX(US_2_y,49)-INDEX(US_2_y,10))^2)</f>
        <v>56.53503338638795</v>
      </c>
      <c r="N64" s="9">
        <f>SQRT((INDEX(US_2_x,49)-INDEX(US_2_x,11))^2+(INDEX(US_2_y,49)-INDEX(US_2_y,11))^2)</f>
        <v>17.123565633360364</v>
      </c>
      <c r="O64" s="9">
        <f>SQRT((INDEX(US_2_x,49)-INDEX(US_2_x,12))^2+(INDEX(US_2_y,49)-INDEX(US_2_y,12))^2)</f>
        <v>16.03566337885652</v>
      </c>
      <c r="P64" s="9">
        <f>SQRT((INDEX(US_2_x,49)-INDEX(US_2_x,13))^2+(INDEX(US_2_y,49)-INDEX(US_2_y,13))^2)</f>
        <v>23.671977103740193</v>
      </c>
      <c r="Q64" s="9">
        <f>SQRT((INDEX(US_2_x,49)-INDEX(US_2_x,14))^2+(INDEX(US_2_y,49)-INDEX(US_2_y,14))^2)</f>
        <v>22.00365424196627</v>
      </c>
      <c r="R64" s="9">
        <f>SQRT((INDEX(US_2_x,49)-INDEX(US_2_x,15))^2+(INDEX(US_2_y,49)-INDEX(US_2_y,15))^2)</f>
        <v>12.894452295464124</v>
      </c>
      <c r="S64" s="9">
        <f>SQRT((INDEX(US_2_x,49)-INDEX(US_2_x,16))^2+(INDEX(US_2_y,49)-INDEX(US_2_y,16))^2)</f>
        <v>10.038849535678878</v>
      </c>
      <c r="T64" s="9">
        <f>SQRT((INDEX(US_2_x,49)-INDEX(US_2_x,17))^2+(INDEX(US_2_y,49)-INDEX(US_2_y,17))^2)</f>
        <v>38.32687046968485</v>
      </c>
      <c r="U64" s="9">
        <f>SQRT((INDEX(US_2_x,49)-INDEX(US_2_x,18))^2+(INDEX(US_2_y,49)-INDEX(US_2_y,18))^2)</f>
        <v>22.57598945782886</v>
      </c>
      <c r="V64" s="9">
        <f>SQRT((INDEX(US_2_x,49)-INDEX(US_2_x,19))^2+(INDEX(US_2_y,49)-INDEX(US_2_y,19))^2)</f>
        <v>34.18903917924573</v>
      </c>
      <c r="W64" s="9">
        <f>SQRT((INDEX(US_2_x,49)-INDEX(US_2_x,20))^2+(INDEX(US_2_y,49)-INDEX(US_2_y,20))^2)</f>
        <v>22.669847815986767</v>
      </c>
      <c r="X64" s="9">
        <f>SQRT((INDEX(US_2_x,49)-INDEX(US_2_x,21))^2+(INDEX(US_2_y,49)-INDEX(US_2_y,21))^2)</f>
        <v>29.560204667762367</v>
      </c>
      <c r="Y64" s="20">
        <f>SQRT((INDEX(US_2_x,49)-INDEX(US_2_x,22))^2+(INDEX(US_2_y,49)-INDEX(US_2_y,22))^2)</f>
        <v>7.199569431570201</v>
      </c>
      <c r="Z64" s="9">
        <f>SQRT((INDEX(US_2_x,49)-INDEX(US_2_x,23))^2+(INDEX(US_2_y,49)-INDEX(US_2_y,23))^2)</f>
        <v>16.993133907552192</v>
      </c>
      <c r="AA64" s="9">
        <f>SQRT((INDEX(US_2_x,49)-INDEX(US_2_x,24))^2+(INDEX(US_2_y,49)-INDEX(US_2_y,24))^2)</f>
        <v>52.78156591083672</v>
      </c>
      <c r="AB64" s="9">
        <f>SQRT((INDEX(US_2_x,49)-INDEX(US_2_x,25))^2+(INDEX(US_2_y,49)-INDEX(US_2_y,25))^2)</f>
        <v>25.778847918400082</v>
      </c>
      <c r="AC64" s="9">
        <f>SQRT((INDEX(US_2_x,49)-INDEX(US_2_x,26))^2+(INDEX(US_2_y,49)-INDEX(US_2_y,26))^2)</f>
        <v>60.754662372529076</v>
      </c>
      <c r="AD64" s="9">
        <f>SQRT((INDEX(US_2_x,49)-INDEX(US_2_x,27))^2+(INDEX(US_2_y,49)-INDEX(US_2_y,27))^2)</f>
        <v>34.646784843618605</v>
      </c>
      <c r="AE64" s="9">
        <f>SQRT((INDEX(US_2_x,49)-INDEX(US_2_x,28))^2+(INDEX(US_2_y,49)-INDEX(US_2_y,28))^2)</f>
        <v>26.536829124821978</v>
      </c>
      <c r="AF64" s="9">
        <f>SQRT((INDEX(US_2_x,49)-INDEX(US_2_x,29))^2+(INDEX(US_2_y,49)-INDEX(US_2_y,29))^2)</f>
        <v>36.24645913741093</v>
      </c>
      <c r="AG64" s="9">
        <f>SQRT((INDEX(US_2_x,49)-INDEX(US_2_x,30))^2+(INDEX(US_2_y,49)-INDEX(US_2_y,30))^2)</f>
        <v>31.1492102628622</v>
      </c>
      <c r="AH64" s="9">
        <f>SQRT((INDEX(US_2_x,49)-INDEX(US_2_x,31))^2+(INDEX(US_2_y,49)-INDEX(US_2_y,31))^2)</f>
        <v>15.731576526209954</v>
      </c>
      <c r="AI64" s="9">
        <f>SQRT((INDEX(US_2_x,49)-INDEX(US_2_x,32))^2+(INDEX(US_2_y,49)-INDEX(US_2_y,32))^2)</f>
        <v>39.50066455137179</v>
      </c>
      <c r="AJ64" s="9">
        <f>SQRT((INDEX(US_2_x,49)-INDEX(US_2_x,33))^2+(INDEX(US_2_y,49)-INDEX(US_2_y,33))^2)</f>
        <v>17.473591502607587</v>
      </c>
      <c r="AK64" s="9">
        <f>SQRT((INDEX(US_2_x,49)-INDEX(US_2_x,34))^2+(INDEX(US_2_y,49)-INDEX(US_2_y,34))^2)</f>
        <v>21.41238193195704</v>
      </c>
      <c r="AL64" s="9">
        <f>SQRT((INDEX(US_2_x,49)-INDEX(US_2_x,35))^2+(INDEX(US_2_y,49)-INDEX(US_2_y,35))^2)</f>
        <v>67.54234967781325</v>
      </c>
      <c r="AM64" s="9">
        <f>SQRT((INDEX(US_2_x,49)-INDEX(US_2_x,36))^2+(INDEX(US_2_y,49)-INDEX(US_2_y,36))^2)</f>
        <v>23.82115026609756</v>
      </c>
      <c r="AN64" s="9">
        <f>SQRT((INDEX(US_2_x,49)-INDEX(US_2_x,37))^2+(INDEX(US_2_y,49)-INDEX(US_2_y,37))^2)</f>
        <v>33.058959451259206</v>
      </c>
      <c r="AO64" s="9">
        <f>SQRT((INDEX(US_2_x,49)-INDEX(US_2_x,38))^2+(INDEX(US_2_y,49)-INDEX(US_2_y,38))^2)</f>
        <v>10.289047574970192</v>
      </c>
      <c r="AP64" s="9">
        <f>SQRT((INDEX(US_2_x,49)-INDEX(US_2_x,39))^2+(INDEX(US_2_y,49)-INDEX(US_2_y,39))^2)</f>
        <v>35.29288313527247</v>
      </c>
      <c r="AQ64" s="9">
        <f>SQRT((INDEX(US_2_x,49)-INDEX(US_2_x,40))^2+(INDEX(US_2_y,49)-INDEX(US_2_y,40))^2)</f>
        <v>8.243136538963798</v>
      </c>
      <c r="AR64" s="9">
        <f>SQRT((INDEX(US_2_x,49)-INDEX(US_2_x,41))^2+(INDEX(US_2_y,49)-INDEX(US_2_y,41))^2)</f>
        <v>21.870002286236737</v>
      </c>
      <c r="AS64" s="9">
        <f>SQRT((INDEX(US_2_x,49)-INDEX(US_2_x,42))^2+(INDEX(US_2_y,49)-INDEX(US_2_y,42))^2)</f>
        <v>48.19396227744717</v>
      </c>
      <c r="AT64" s="9">
        <f>SQRT((INDEX(US_2_x,49)-INDEX(US_2_x,43))^2+(INDEX(US_2_y,49)-INDEX(US_2_y,43))^2)</f>
        <v>34.88987245605808</v>
      </c>
      <c r="AU64" s="9">
        <f>SQRT((INDEX(US_2_x,49)-INDEX(US_2_x,44))^2+(INDEX(US_2_y,49)-INDEX(US_2_y,44))^2)</f>
        <v>19.469003569777268</v>
      </c>
      <c r="AV64" s="9">
        <f>SQRT((INDEX(US_2_x,49)-INDEX(US_2_x,45))^2+(INDEX(US_2_y,49)-INDEX(US_2_y,45))^2)</f>
        <v>68.34318181062396</v>
      </c>
      <c r="AW64" s="9">
        <f>SQRT((INDEX(US_2_x,49)-INDEX(US_2_x,46))^2+(INDEX(US_2_y,49)-INDEX(US_2_y,46))^2)</f>
        <v>15.417292239560098</v>
      </c>
      <c r="AX64" s="9">
        <f>SQRT((INDEX(US_2_x,49)-INDEX(US_2_x,47))^2+(INDEX(US_2_y,49)-INDEX(US_2_y,47))^2)</f>
        <v>23.78534422706554</v>
      </c>
      <c r="AY64" s="9">
        <f>SQRT((INDEX(US_2_x,49)-INDEX(US_2_x,48))^2+(INDEX(US_2_y,49)-INDEX(US_2_y,48))^2)</f>
        <v>37.43079213695591</v>
      </c>
      <c r="AZ64" s="9" t="s">
        <v>30</v>
      </c>
      <c r="BA64" s="34">
        <v>67.34</v>
      </c>
      <c r="BB64" s="34">
        <v>14.53</v>
      </c>
    </row>
    <row r="65" ht="13.5" thickTop="1"/>
  </sheetData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D58"/>
  <sheetViews>
    <sheetView zoomScale="20" zoomScaleNormal="20" workbookViewId="0" topLeftCell="A1">
      <selection activeCell="C4" sqref="C4"/>
    </sheetView>
  </sheetViews>
  <sheetFormatPr defaultColWidth="11.00390625" defaultRowHeight="12.75"/>
  <cols>
    <col min="3" max="82" width="5.75390625" style="0" customWidth="1"/>
  </cols>
  <sheetData>
    <row r="1" ht="18">
      <c r="A1" s="1" t="s">
        <v>103</v>
      </c>
    </row>
    <row r="2" spans="2:50" ht="12.75">
      <c r="B2" s="15" t="s">
        <v>34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</row>
    <row r="3" spans="2:50" ht="12.75">
      <c r="B3" s="15" t="s">
        <v>35</v>
      </c>
      <c r="C3">
        <v>1</v>
      </c>
      <c r="D3">
        <v>8</v>
      </c>
      <c r="E3">
        <v>9</v>
      </c>
      <c r="F3">
        <v>38</v>
      </c>
      <c r="G3">
        <v>31</v>
      </c>
      <c r="H3">
        <v>44</v>
      </c>
      <c r="I3">
        <v>18</v>
      </c>
      <c r="J3">
        <v>7</v>
      </c>
      <c r="K3">
        <v>28</v>
      </c>
      <c r="L3">
        <v>6</v>
      </c>
      <c r="M3">
        <v>37</v>
      </c>
      <c r="N3">
        <v>19</v>
      </c>
      <c r="O3">
        <v>27</v>
      </c>
      <c r="P3">
        <v>17</v>
      </c>
      <c r="Q3">
        <v>43</v>
      </c>
      <c r="R3">
        <v>30</v>
      </c>
      <c r="S3">
        <v>36</v>
      </c>
      <c r="T3">
        <v>46</v>
      </c>
      <c r="U3">
        <v>33</v>
      </c>
      <c r="V3">
        <v>20</v>
      </c>
      <c r="W3">
        <v>47</v>
      </c>
      <c r="X3">
        <v>21</v>
      </c>
      <c r="Y3">
        <v>13</v>
      </c>
      <c r="Z3">
        <v>25</v>
      </c>
      <c r="AA3">
        <v>14</v>
      </c>
      <c r="AB3">
        <v>23</v>
      </c>
      <c r="AC3">
        <v>11</v>
      </c>
      <c r="AD3">
        <v>12</v>
      </c>
      <c r="AE3">
        <v>15</v>
      </c>
      <c r="AF3">
        <v>40</v>
      </c>
      <c r="AG3">
        <v>3</v>
      </c>
      <c r="AH3">
        <v>34</v>
      </c>
      <c r="AI3">
        <v>5</v>
      </c>
      <c r="AJ3">
        <v>48</v>
      </c>
      <c r="AK3">
        <v>39</v>
      </c>
      <c r="AL3">
        <v>32</v>
      </c>
      <c r="AM3">
        <v>24</v>
      </c>
      <c r="AN3">
        <v>10</v>
      </c>
      <c r="AO3">
        <v>45</v>
      </c>
      <c r="AP3">
        <v>35</v>
      </c>
      <c r="AQ3">
        <v>4</v>
      </c>
      <c r="AR3">
        <v>26</v>
      </c>
      <c r="AS3">
        <v>42</v>
      </c>
      <c r="AT3">
        <v>2</v>
      </c>
      <c r="AU3">
        <v>29</v>
      </c>
      <c r="AV3">
        <v>41</v>
      </c>
      <c r="AW3">
        <v>16</v>
      </c>
      <c r="AX3">
        <v>22</v>
      </c>
    </row>
    <row r="4" ht="34.5" customHeight="1">
      <c r="B4" s="15" t="s">
        <v>29</v>
      </c>
    </row>
    <row r="5" ht="34.5" customHeight="1">
      <c r="B5" s="2">
        <v>52</v>
      </c>
    </row>
    <row r="6" spans="2:80" ht="34.5" customHeight="1">
      <c r="B6" s="2">
        <v>51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2:80" ht="34.5" customHeight="1">
      <c r="B7" s="2">
        <v>50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2:80" ht="34.5" customHeight="1">
      <c r="B8" s="2">
        <v>49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2:80" ht="34.5" customHeight="1">
      <c r="B9" s="2">
        <v>48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spans="2:80" ht="34.5" customHeight="1">
      <c r="B10" s="2">
        <v>47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2:80" ht="34.5" customHeight="1">
      <c r="B11" s="2">
        <v>46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2:80" ht="34.5" customHeight="1">
      <c r="B12" s="2">
        <v>45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</row>
    <row r="13" spans="2:80" ht="34.5" customHeight="1">
      <c r="B13" s="2">
        <v>44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4" spans="2:80" ht="34.5" customHeight="1">
      <c r="B14" s="2">
        <v>43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2:80" ht="34.5" customHeight="1">
      <c r="B15" s="2">
        <v>42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</row>
    <row r="16" spans="2:80" ht="34.5" customHeight="1">
      <c r="B16" s="2">
        <v>41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spans="2:80" ht="34.5" customHeight="1">
      <c r="B17" s="2">
        <v>40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</row>
    <row r="18" spans="2:80" ht="34.5" customHeight="1">
      <c r="B18" s="2">
        <v>39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</row>
    <row r="19" spans="2:80" ht="34.5" customHeight="1">
      <c r="B19" s="2">
        <v>38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</row>
    <row r="20" spans="2:80" ht="34.5" customHeight="1">
      <c r="B20" s="2">
        <v>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</row>
    <row r="21" spans="2:80" ht="34.5" customHeight="1">
      <c r="B21" s="2">
        <v>36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</row>
    <row r="22" spans="2:80" ht="34.5" customHeight="1">
      <c r="B22" s="2">
        <v>35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</row>
    <row r="23" spans="2:80" ht="34.5" customHeight="1">
      <c r="B23" s="2">
        <v>34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</row>
    <row r="24" spans="2:80" ht="34.5" customHeight="1">
      <c r="B24" s="2">
        <v>33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</row>
    <row r="25" spans="2:80" ht="34.5" customHeight="1">
      <c r="B25" s="2">
        <v>32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</row>
    <row r="26" spans="2:80" ht="34.5" customHeight="1">
      <c r="B26" s="2">
        <v>31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</row>
    <row r="27" spans="2:80" ht="34.5" customHeight="1">
      <c r="B27" s="2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2:80" ht="34.5" customHeight="1">
      <c r="B28" s="2">
        <v>29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</row>
    <row r="29" spans="2:80" ht="34.5" customHeight="1">
      <c r="B29" s="2">
        <v>28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2:80" ht="34.5" customHeight="1">
      <c r="B30" s="2">
        <v>27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</row>
    <row r="31" spans="2:80" ht="34.5" customHeight="1">
      <c r="B31" s="2">
        <v>26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</row>
    <row r="32" spans="2:80" ht="34.5" customHeight="1">
      <c r="B32" s="2">
        <v>25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2:80" ht="34.5" customHeight="1">
      <c r="B33" s="2">
        <v>24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2:80" ht="34.5" customHeight="1">
      <c r="B34" s="2">
        <v>23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2:80" ht="34.5" customHeight="1">
      <c r="B35" s="2">
        <v>22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2:80" ht="34.5" customHeight="1">
      <c r="B36" s="2">
        <v>21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2:80" ht="34.5" customHeight="1">
      <c r="B37" s="2">
        <v>20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2:80" ht="34.5" customHeight="1">
      <c r="B38" s="2">
        <v>19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2:80" ht="34.5" customHeight="1">
      <c r="B39" s="2">
        <v>18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2:80" ht="34.5" customHeight="1">
      <c r="B40" s="2">
        <v>17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spans="2:80" ht="34.5" customHeight="1">
      <c r="B41" s="2">
        <v>16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2:80" ht="34.5" customHeight="1">
      <c r="B42" s="2">
        <v>15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</row>
    <row r="43" spans="2:80" ht="34.5" customHeight="1">
      <c r="B43" s="2">
        <v>14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</row>
    <row r="44" spans="2:80" ht="34.5" customHeight="1">
      <c r="B44" s="2">
        <v>13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</row>
    <row r="45" spans="2:80" ht="34.5" customHeight="1">
      <c r="B45" s="2">
        <v>12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2:80" ht="34.5" customHeight="1">
      <c r="B46" s="2">
        <v>11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2:80" ht="34.5" customHeight="1">
      <c r="B47" s="2">
        <v>10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2:80" ht="34.5" customHeight="1">
      <c r="B48" s="2">
        <v>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pans="2:80" ht="34.5" customHeight="1">
      <c r="B49" s="2">
        <v>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2:80" ht="34.5" customHeight="1">
      <c r="B50" s="2">
        <v>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2:80" ht="34.5" customHeight="1">
      <c r="B51" s="2">
        <v>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2:80" ht="34.5" customHeight="1">
      <c r="B52" s="2">
        <v>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</row>
    <row r="53" spans="2:80" ht="34.5" customHeight="1">
      <c r="B53" s="2">
        <v>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2:80" ht="34.5" customHeight="1">
      <c r="B54" s="2">
        <v>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2:80" ht="34.5" customHeight="1">
      <c r="B55" s="2">
        <v>2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</row>
    <row r="56" spans="2:80" ht="34.5" customHeight="1">
      <c r="B56" s="2">
        <v>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</row>
    <row r="57" spans="2:80" ht="34.5" customHeight="1">
      <c r="B57" s="2">
        <v>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</row>
    <row r="58" spans="3:82" ht="34.5" customHeight="1">
      <c r="C58" s="16">
        <v>0</v>
      </c>
      <c r="D58" s="16">
        <v>1</v>
      </c>
      <c r="E58" s="16">
        <v>2</v>
      </c>
      <c r="F58" s="16">
        <v>3</v>
      </c>
      <c r="G58" s="16">
        <v>4</v>
      </c>
      <c r="H58" s="16">
        <v>5</v>
      </c>
      <c r="I58" s="16">
        <v>6</v>
      </c>
      <c r="J58" s="16">
        <v>7</v>
      </c>
      <c r="K58" s="16">
        <v>8</v>
      </c>
      <c r="L58" s="16">
        <v>9</v>
      </c>
      <c r="M58" s="16">
        <v>10</v>
      </c>
      <c r="N58" s="16">
        <v>11</v>
      </c>
      <c r="O58" s="16">
        <v>12</v>
      </c>
      <c r="P58" s="16">
        <v>13</v>
      </c>
      <c r="Q58" s="16">
        <v>14</v>
      </c>
      <c r="R58" s="16">
        <v>15</v>
      </c>
      <c r="S58" s="16">
        <v>16</v>
      </c>
      <c r="T58" s="16">
        <v>17</v>
      </c>
      <c r="U58" s="16">
        <v>18</v>
      </c>
      <c r="V58" s="16">
        <v>19</v>
      </c>
      <c r="W58" s="16">
        <v>20</v>
      </c>
      <c r="X58" s="16">
        <v>21</v>
      </c>
      <c r="Y58" s="16">
        <v>22</v>
      </c>
      <c r="Z58" s="16">
        <v>23</v>
      </c>
      <c r="AA58" s="16">
        <v>24</v>
      </c>
      <c r="AB58" s="16">
        <v>25</v>
      </c>
      <c r="AC58" s="16">
        <v>26</v>
      </c>
      <c r="AD58" s="16">
        <v>27</v>
      </c>
      <c r="AE58" s="16">
        <v>28</v>
      </c>
      <c r="AF58" s="16">
        <v>29</v>
      </c>
      <c r="AG58" s="16">
        <v>30</v>
      </c>
      <c r="AH58" s="16">
        <v>31</v>
      </c>
      <c r="AI58" s="16">
        <v>32</v>
      </c>
      <c r="AJ58" s="16">
        <v>33</v>
      </c>
      <c r="AK58" s="16">
        <v>34</v>
      </c>
      <c r="AL58" s="16">
        <v>35</v>
      </c>
      <c r="AM58" s="16">
        <v>36</v>
      </c>
      <c r="AN58" s="16">
        <v>37</v>
      </c>
      <c r="AO58" s="16">
        <v>38</v>
      </c>
      <c r="AP58" s="16">
        <v>39</v>
      </c>
      <c r="AQ58" s="16">
        <v>40</v>
      </c>
      <c r="AR58" s="16">
        <v>41</v>
      </c>
      <c r="AS58" s="16">
        <v>42</v>
      </c>
      <c r="AT58" s="16">
        <v>43</v>
      </c>
      <c r="AU58" s="16">
        <v>44</v>
      </c>
      <c r="AV58" s="16">
        <v>45</v>
      </c>
      <c r="AW58" s="16">
        <v>46</v>
      </c>
      <c r="AX58" s="16">
        <v>47</v>
      </c>
      <c r="AY58" s="16">
        <v>48</v>
      </c>
      <c r="AZ58" s="16">
        <v>49</v>
      </c>
      <c r="BA58" s="16">
        <v>50</v>
      </c>
      <c r="BB58" s="16">
        <v>51</v>
      </c>
      <c r="BC58" s="16">
        <v>52</v>
      </c>
      <c r="BD58" s="16">
        <v>53</v>
      </c>
      <c r="BE58" s="16">
        <v>54</v>
      </c>
      <c r="BF58" s="16">
        <v>55</v>
      </c>
      <c r="BG58" s="16">
        <v>56</v>
      </c>
      <c r="BH58" s="16">
        <v>57</v>
      </c>
      <c r="BI58" s="16">
        <v>58</v>
      </c>
      <c r="BJ58" s="16">
        <v>59</v>
      </c>
      <c r="BK58" s="16">
        <v>60</v>
      </c>
      <c r="BL58" s="16">
        <v>61</v>
      </c>
      <c r="BM58" s="16">
        <v>62</v>
      </c>
      <c r="BN58" s="16">
        <v>63</v>
      </c>
      <c r="BO58" s="16">
        <v>64</v>
      </c>
      <c r="BP58" s="16">
        <v>65</v>
      </c>
      <c r="BQ58" s="16">
        <v>66</v>
      </c>
      <c r="BR58" s="16">
        <v>67</v>
      </c>
      <c r="BS58" s="16">
        <v>68</v>
      </c>
      <c r="BT58" s="16">
        <v>69</v>
      </c>
      <c r="BU58" s="16">
        <v>70</v>
      </c>
      <c r="BV58" s="16">
        <v>71</v>
      </c>
      <c r="BW58" s="16">
        <v>72</v>
      </c>
      <c r="BX58" s="16">
        <v>73</v>
      </c>
      <c r="BY58" s="16">
        <v>74</v>
      </c>
      <c r="BZ58" s="16">
        <v>75</v>
      </c>
      <c r="CA58" s="16">
        <v>76</v>
      </c>
      <c r="CB58" s="16">
        <v>77</v>
      </c>
      <c r="CC58" s="16">
        <v>78</v>
      </c>
      <c r="CD58" s="17" t="s"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AH36"/>
  <sheetViews>
    <sheetView tabSelected="1" zoomScale="49" zoomScaleNormal="49" workbookViewId="0" topLeftCell="A1">
      <selection activeCell="C4" sqref="C4"/>
    </sheetView>
  </sheetViews>
  <sheetFormatPr defaultColWidth="11.00390625" defaultRowHeight="12.75"/>
  <cols>
    <col min="3" max="34" width="5.75390625" style="0" customWidth="1"/>
  </cols>
  <sheetData>
    <row r="1" ht="18">
      <c r="A1" s="1" t="s">
        <v>105</v>
      </c>
    </row>
    <row r="2" spans="2:14" ht="12.75">
      <c r="B2" s="15" t="s">
        <v>34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</row>
    <row r="3" spans="2:14" ht="12.75">
      <c r="B3" s="15" t="s">
        <v>35</v>
      </c>
      <c r="C3">
        <v>1</v>
      </c>
      <c r="D3">
        <v>2</v>
      </c>
      <c r="E3">
        <v>5</v>
      </c>
      <c r="F3">
        <v>4</v>
      </c>
      <c r="G3">
        <v>8</v>
      </c>
      <c r="H3">
        <v>9</v>
      </c>
      <c r="I3">
        <v>12</v>
      </c>
      <c r="J3">
        <v>11</v>
      </c>
      <c r="K3">
        <v>7</v>
      </c>
      <c r="L3">
        <v>3</v>
      </c>
      <c r="M3">
        <v>6</v>
      </c>
      <c r="N3">
        <v>10</v>
      </c>
    </row>
    <row r="4" ht="34.5" customHeight="1">
      <c r="B4" s="15" t="s">
        <v>29</v>
      </c>
    </row>
    <row r="5" ht="34.5" customHeight="1">
      <c r="B5" s="2">
        <v>30</v>
      </c>
    </row>
    <row r="6" ht="34.5" customHeight="1">
      <c r="B6" s="2">
        <v>29</v>
      </c>
    </row>
    <row r="7" ht="34.5" customHeight="1">
      <c r="B7" s="2">
        <v>28</v>
      </c>
    </row>
    <row r="8" ht="34.5" customHeight="1">
      <c r="B8" s="2">
        <v>27</v>
      </c>
    </row>
    <row r="9" ht="34.5" customHeight="1">
      <c r="B9" s="2">
        <v>26</v>
      </c>
    </row>
    <row r="10" ht="34.5" customHeight="1">
      <c r="B10" s="2">
        <v>25</v>
      </c>
    </row>
    <row r="11" ht="34.5" customHeight="1">
      <c r="B11" s="2">
        <v>24</v>
      </c>
    </row>
    <row r="12" ht="34.5" customHeight="1">
      <c r="B12" s="2">
        <v>23</v>
      </c>
    </row>
    <row r="13" ht="34.5" customHeight="1">
      <c r="B13" s="2">
        <v>22</v>
      </c>
    </row>
    <row r="14" ht="34.5" customHeight="1">
      <c r="B14" s="2">
        <v>21</v>
      </c>
    </row>
    <row r="15" ht="34.5" customHeight="1">
      <c r="B15" s="2">
        <v>20</v>
      </c>
    </row>
    <row r="16" ht="34.5" customHeight="1">
      <c r="B16" s="2">
        <v>19</v>
      </c>
    </row>
    <row r="17" ht="34.5" customHeight="1">
      <c r="B17" s="2">
        <v>18</v>
      </c>
    </row>
    <row r="18" ht="34.5" customHeight="1">
      <c r="B18" s="2">
        <v>17</v>
      </c>
    </row>
    <row r="19" ht="34.5" customHeight="1">
      <c r="B19" s="2">
        <v>16</v>
      </c>
    </row>
    <row r="20" ht="34.5" customHeight="1">
      <c r="B20" s="2">
        <v>15</v>
      </c>
    </row>
    <row r="21" ht="34.5" customHeight="1">
      <c r="B21" s="2">
        <v>14</v>
      </c>
    </row>
    <row r="22" ht="34.5" customHeight="1">
      <c r="B22" s="2">
        <v>13</v>
      </c>
    </row>
    <row r="23" ht="34.5" customHeight="1">
      <c r="B23" s="2">
        <v>12</v>
      </c>
    </row>
    <row r="24" ht="34.5" customHeight="1">
      <c r="B24" s="2">
        <v>11</v>
      </c>
    </row>
    <row r="25" ht="34.5" customHeight="1">
      <c r="B25" s="2">
        <v>10</v>
      </c>
    </row>
    <row r="26" ht="34.5" customHeight="1">
      <c r="B26" s="2">
        <v>9</v>
      </c>
    </row>
    <row r="27" ht="34.5" customHeight="1">
      <c r="B27" s="2">
        <v>8</v>
      </c>
    </row>
    <row r="28" ht="34.5" customHeight="1">
      <c r="B28" s="2">
        <v>7</v>
      </c>
    </row>
    <row r="29" ht="34.5" customHeight="1">
      <c r="B29" s="2">
        <v>6</v>
      </c>
    </row>
    <row r="30" ht="34.5" customHeight="1">
      <c r="B30" s="2">
        <v>5</v>
      </c>
    </row>
    <row r="31" ht="34.5" customHeight="1">
      <c r="B31" s="2">
        <v>4</v>
      </c>
    </row>
    <row r="32" ht="34.5" customHeight="1">
      <c r="B32" s="2">
        <v>3</v>
      </c>
    </row>
    <row r="33" ht="34.5" customHeight="1">
      <c r="B33" s="2">
        <v>2</v>
      </c>
    </row>
    <row r="34" ht="34.5" customHeight="1">
      <c r="B34" s="2">
        <v>1</v>
      </c>
    </row>
    <row r="35" ht="34.5" customHeight="1">
      <c r="B35" s="2">
        <v>0</v>
      </c>
    </row>
    <row r="36" spans="3:34" ht="34.5" customHeight="1">
      <c r="C36" s="16">
        <v>0</v>
      </c>
      <c r="D36" s="16">
        <v>1</v>
      </c>
      <c r="E36" s="16">
        <v>2</v>
      </c>
      <c r="F36" s="16">
        <v>3</v>
      </c>
      <c r="G36" s="16">
        <v>4</v>
      </c>
      <c r="H36" s="16">
        <v>5</v>
      </c>
      <c r="I36" s="16">
        <v>6</v>
      </c>
      <c r="J36" s="16">
        <v>7</v>
      </c>
      <c r="K36" s="16">
        <v>8</v>
      </c>
      <c r="L36" s="16">
        <v>9</v>
      </c>
      <c r="M36" s="16">
        <v>10</v>
      </c>
      <c r="N36" s="16">
        <v>11</v>
      </c>
      <c r="O36" s="16">
        <v>12</v>
      </c>
      <c r="P36" s="16">
        <v>13</v>
      </c>
      <c r="Q36" s="16">
        <v>14</v>
      </c>
      <c r="R36" s="16">
        <v>15</v>
      </c>
      <c r="S36" s="16">
        <v>16</v>
      </c>
      <c r="T36" s="16">
        <v>17</v>
      </c>
      <c r="U36" s="16">
        <v>18</v>
      </c>
      <c r="V36" s="16">
        <v>19</v>
      </c>
      <c r="W36" s="16">
        <v>20</v>
      </c>
      <c r="X36" s="16">
        <v>21</v>
      </c>
      <c r="Y36" s="16">
        <v>22</v>
      </c>
      <c r="Z36" s="16">
        <v>23</v>
      </c>
      <c r="AA36" s="16">
        <v>24</v>
      </c>
      <c r="AB36" s="16">
        <v>25</v>
      </c>
      <c r="AC36" s="16">
        <v>26</v>
      </c>
      <c r="AD36" s="16">
        <v>27</v>
      </c>
      <c r="AE36" s="16">
        <v>28</v>
      </c>
      <c r="AF36" s="16">
        <v>29</v>
      </c>
      <c r="AG36" s="16">
        <v>30</v>
      </c>
      <c r="AH36" s="17" t="s"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H28"/>
  <sheetViews>
    <sheetView workbookViewId="0" topLeftCell="A1">
      <selection activeCell="C22" sqref="C22"/>
    </sheetView>
  </sheetViews>
  <sheetFormatPr defaultColWidth="11.00390625" defaultRowHeight="12.75"/>
  <cols>
    <col min="3" max="3" width="12.75390625" style="0" bestFit="1" customWidth="1"/>
    <col min="4" max="18" width="7.75390625" style="0" customWidth="1"/>
    <col min="19" max="19" width="12.375" style="0" bestFit="1" customWidth="1"/>
    <col min="20" max="34" width="5.75390625" style="0" customWidth="1"/>
  </cols>
  <sheetData>
    <row r="1" ht="18">
      <c r="A1" s="1" t="s">
        <v>0</v>
      </c>
    </row>
    <row r="3" spans="2:21" ht="12.75">
      <c r="B3" s="13" t="s">
        <v>31</v>
      </c>
      <c r="C3" s="8" t="s">
        <v>1</v>
      </c>
      <c r="F3" s="2" t="s">
        <v>2</v>
      </c>
      <c r="G3" s="2"/>
      <c r="H3" s="2" t="s">
        <v>3</v>
      </c>
      <c r="S3" s="8" t="s">
        <v>40</v>
      </c>
      <c r="T3">
        <v>162.42640686035156</v>
      </c>
      <c r="U3" t="s">
        <v>107</v>
      </c>
    </row>
    <row r="4" spans="3:21" ht="12.75">
      <c r="C4" s="4" t="s">
        <v>8</v>
      </c>
      <c r="D4" s="5" t="s">
        <v>104</v>
      </c>
      <c r="E4" s="4" t="s">
        <v>4</v>
      </c>
      <c r="F4" s="3" t="s">
        <v>6</v>
      </c>
      <c r="G4" s="4" t="s">
        <v>7</v>
      </c>
      <c r="H4" s="5" t="b">
        <f>Grid12_OpFeasValue=0</f>
        <v>1</v>
      </c>
      <c r="S4" s="8" t="s">
        <v>41</v>
      </c>
      <c r="T4">
        <v>1</v>
      </c>
      <c r="U4" t="s">
        <v>42</v>
      </c>
    </row>
    <row r="5" spans="3:24" ht="12.75">
      <c r="C5" s="4" t="s">
        <v>10</v>
      </c>
      <c r="D5" s="5" t="s">
        <v>106</v>
      </c>
      <c r="E5" s="4" t="s">
        <v>5</v>
      </c>
      <c r="F5" s="5">
        <f>SUM(Grid12_OpObjTerms)</f>
        <v>162.42640687119285</v>
      </c>
      <c r="G5" s="4" t="s">
        <v>5</v>
      </c>
      <c r="H5" s="5">
        <f>COUNTIF(Grid12_OpValue,"=0")</f>
        <v>0</v>
      </c>
      <c r="S5" s="8" t="s">
        <v>43</v>
      </c>
      <c r="T5">
        <v>68</v>
      </c>
      <c r="U5" s="4" t="s">
        <v>44</v>
      </c>
      <c r="V5">
        <v>68</v>
      </c>
      <c r="W5" s="4" t="s">
        <v>45</v>
      </c>
      <c r="X5">
        <v>0</v>
      </c>
    </row>
    <row r="6" spans="2:20" ht="12.75">
      <c r="B6" s="13" t="s">
        <v>32</v>
      </c>
      <c r="C6" s="4" t="s">
        <v>11</v>
      </c>
      <c r="D6" s="5" t="s">
        <v>12</v>
      </c>
      <c r="E6" t="s">
        <v>13</v>
      </c>
      <c r="F6" s="3" t="s">
        <v>14</v>
      </c>
      <c r="S6" s="8" t="s">
        <v>46</v>
      </c>
      <c r="T6" s="18">
        <v>1</v>
      </c>
    </row>
    <row r="7" spans="3:20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S7" s="8" t="s">
        <v>47</v>
      </c>
      <c r="T7">
        <v>10</v>
      </c>
    </row>
    <row r="8" spans="3:16" ht="12.75">
      <c r="C8" s="4" t="s">
        <v>8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23</v>
      </c>
    </row>
    <row r="9" spans="3:20" ht="12.75">
      <c r="C9" s="4" t="s">
        <v>24</v>
      </c>
      <c r="D9" s="6">
        <v>2</v>
      </c>
      <c r="E9" s="6">
        <v>5</v>
      </c>
      <c r="F9" s="6">
        <v>6</v>
      </c>
      <c r="G9" s="6">
        <v>8</v>
      </c>
      <c r="H9" s="6">
        <v>4</v>
      </c>
      <c r="I9" s="6">
        <v>10</v>
      </c>
      <c r="J9" s="6">
        <v>3</v>
      </c>
      <c r="K9" s="6">
        <v>9</v>
      </c>
      <c r="L9" s="6">
        <v>12</v>
      </c>
      <c r="M9" s="6">
        <v>13</v>
      </c>
      <c r="N9" s="6">
        <v>7</v>
      </c>
      <c r="O9" s="6">
        <v>11</v>
      </c>
      <c r="P9" s="6">
        <v>1</v>
      </c>
      <c r="T9" s="12" t="s">
        <v>37</v>
      </c>
    </row>
    <row r="10" spans="3:34" ht="12.75">
      <c r="C10" s="4" t="s">
        <v>25</v>
      </c>
      <c r="D10" s="7">
        <v>1</v>
      </c>
      <c r="E10" s="7">
        <f aca="true" t="shared" si="0" ref="E10:P10">INDEX(Grid12_OpValue,1,D10)</f>
        <v>2</v>
      </c>
      <c r="F10" s="7">
        <f t="shared" si="0"/>
        <v>5</v>
      </c>
      <c r="G10" s="7">
        <f t="shared" si="0"/>
        <v>4</v>
      </c>
      <c r="H10" s="7">
        <f t="shared" si="0"/>
        <v>8</v>
      </c>
      <c r="I10" s="7">
        <f t="shared" si="0"/>
        <v>9</v>
      </c>
      <c r="J10" s="7">
        <f t="shared" si="0"/>
        <v>12</v>
      </c>
      <c r="K10" s="7">
        <f t="shared" si="0"/>
        <v>11</v>
      </c>
      <c r="L10" s="7">
        <f t="shared" si="0"/>
        <v>7</v>
      </c>
      <c r="M10" s="7">
        <f t="shared" si="0"/>
        <v>3</v>
      </c>
      <c r="N10" s="7">
        <f t="shared" si="0"/>
        <v>6</v>
      </c>
      <c r="O10" s="7">
        <f t="shared" si="0"/>
        <v>10</v>
      </c>
      <c r="P10" s="7">
        <f t="shared" si="0"/>
        <v>13</v>
      </c>
      <c r="T10" s="2" t="s">
        <v>38</v>
      </c>
      <c r="U10" s="2" t="s">
        <v>16</v>
      </c>
      <c r="V10" s="2" t="s">
        <v>17</v>
      </c>
      <c r="W10" s="2" t="s">
        <v>18</v>
      </c>
      <c r="X10" s="2" t="s">
        <v>19</v>
      </c>
      <c r="Y10" s="2" t="s">
        <v>20</v>
      </c>
      <c r="Z10" s="2" t="s">
        <v>21</v>
      </c>
      <c r="AA10" s="2" t="s">
        <v>22</v>
      </c>
      <c r="AB10" s="2" t="s">
        <v>52</v>
      </c>
      <c r="AC10" s="2" t="s">
        <v>53</v>
      </c>
      <c r="AD10" s="2" t="s">
        <v>54</v>
      </c>
      <c r="AE10" s="2" t="s">
        <v>55</v>
      </c>
      <c r="AF10" s="2" t="s">
        <v>56</v>
      </c>
      <c r="AG10" s="2" t="s">
        <v>23</v>
      </c>
      <c r="AH10" s="2" t="s">
        <v>39</v>
      </c>
    </row>
    <row r="11" spans="20:34" ht="12.75">
      <c r="T11" s="19">
        <v>67</v>
      </c>
      <c r="U11" s="19">
        <v>2</v>
      </c>
      <c r="V11" s="19">
        <v>5</v>
      </c>
      <c r="W11" s="19">
        <v>6</v>
      </c>
      <c r="X11" s="19">
        <v>8</v>
      </c>
      <c r="Y11" s="19">
        <v>4</v>
      </c>
      <c r="Z11" s="19">
        <v>10</v>
      </c>
      <c r="AA11" s="19">
        <v>3</v>
      </c>
      <c r="AB11" s="19">
        <v>9</v>
      </c>
      <c r="AC11" s="19">
        <v>12</v>
      </c>
      <c r="AD11" s="19">
        <v>13</v>
      </c>
      <c r="AE11" s="19">
        <v>7</v>
      </c>
      <c r="AF11" s="19">
        <v>11</v>
      </c>
      <c r="AG11" s="19">
        <v>1</v>
      </c>
      <c r="AH11" s="19">
        <v>162.42640686035156</v>
      </c>
    </row>
    <row r="12" spans="3:34" ht="12.75">
      <c r="C12" s="4" t="s">
        <v>26</v>
      </c>
      <c r="D12" s="7">
        <f aca="true" t="shared" si="1" ref="D12:P12">INDEX(Grid12_OpObjMatrix,Grid12_OpValue+1,)</f>
        <v>10</v>
      </c>
      <c r="E12" s="7">
        <f t="shared" si="1"/>
        <v>10</v>
      </c>
      <c r="F12" s="7">
        <f t="shared" si="1"/>
        <v>30</v>
      </c>
      <c r="G12" s="7">
        <f t="shared" si="1"/>
        <v>10</v>
      </c>
      <c r="H12" s="7">
        <f t="shared" si="1"/>
        <v>10</v>
      </c>
      <c r="I12" s="7">
        <f t="shared" si="1"/>
        <v>10</v>
      </c>
      <c r="J12" s="7">
        <f t="shared" si="1"/>
        <v>10</v>
      </c>
      <c r="K12" s="7">
        <f t="shared" si="1"/>
        <v>10</v>
      </c>
      <c r="L12" s="7">
        <f t="shared" si="1"/>
        <v>10</v>
      </c>
      <c r="M12" s="7">
        <f t="shared" si="1"/>
        <v>28.284271247461902</v>
      </c>
      <c r="N12" s="7">
        <f t="shared" si="1"/>
        <v>14.142135623730951</v>
      </c>
      <c r="O12" s="7">
        <f t="shared" si="1"/>
        <v>10</v>
      </c>
      <c r="P12" s="7">
        <f t="shared" si="1"/>
        <v>0</v>
      </c>
      <c r="T12" s="19">
        <v>68</v>
      </c>
      <c r="U12" s="19">
        <v>2</v>
      </c>
      <c r="V12" s="19">
        <v>5</v>
      </c>
      <c r="W12" s="19">
        <v>6</v>
      </c>
      <c r="X12" s="19">
        <v>8</v>
      </c>
      <c r="Y12" s="19">
        <v>4</v>
      </c>
      <c r="Z12" s="19">
        <v>10</v>
      </c>
      <c r="AA12" s="19">
        <v>3</v>
      </c>
      <c r="AB12" s="19">
        <v>9</v>
      </c>
      <c r="AC12" s="19">
        <v>12</v>
      </c>
      <c r="AD12" s="19">
        <v>13</v>
      </c>
      <c r="AE12" s="19">
        <v>7</v>
      </c>
      <c r="AF12" s="19">
        <v>11</v>
      </c>
      <c r="AG12" s="19">
        <v>1</v>
      </c>
      <c r="AH12" s="19">
        <v>162.42640686035156</v>
      </c>
    </row>
    <row r="13" ht="12.75">
      <c r="C13" s="4"/>
    </row>
    <row r="14" spans="3:16" ht="12.75">
      <c r="C14" s="4" t="s">
        <v>27</v>
      </c>
      <c r="D14" s="2">
        <v>1</v>
      </c>
      <c r="E14" s="2">
        <v>2</v>
      </c>
      <c r="F14" s="2">
        <v>3</v>
      </c>
      <c r="G14" s="2">
        <v>4</v>
      </c>
      <c r="H14" s="2">
        <v>5</v>
      </c>
      <c r="I14" s="2">
        <v>6</v>
      </c>
      <c r="J14" s="2">
        <v>7</v>
      </c>
      <c r="K14" s="2">
        <v>8</v>
      </c>
      <c r="L14" s="2">
        <v>9</v>
      </c>
      <c r="M14" s="2">
        <v>10</v>
      </c>
      <c r="N14" s="2">
        <v>11</v>
      </c>
      <c r="O14" s="2">
        <v>12</v>
      </c>
      <c r="P14" s="2">
        <v>13</v>
      </c>
    </row>
    <row r="15" spans="3:18" ht="13.5" thickBot="1">
      <c r="C15" s="4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0" t="s">
        <v>28</v>
      </c>
      <c r="R15" s="10" t="s">
        <v>29</v>
      </c>
    </row>
    <row r="16" spans="3:18" ht="15" thickBot="1" thickTop="1">
      <c r="C16" s="4">
        <v>1</v>
      </c>
      <c r="D16" s="9" t="s">
        <v>30</v>
      </c>
      <c r="E16" s="9" t="s">
        <v>30</v>
      </c>
      <c r="F16" s="9" t="s">
        <v>30</v>
      </c>
      <c r="G16" s="9" t="s">
        <v>30</v>
      </c>
      <c r="H16" s="9" t="s">
        <v>30</v>
      </c>
      <c r="I16" s="9" t="s">
        <v>30</v>
      </c>
      <c r="J16" s="9" t="s">
        <v>30</v>
      </c>
      <c r="K16" s="9" t="s">
        <v>30</v>
      </c>
      <c r="L16" s="9" t="s">
        <v>30</v>
      </c>
      <c r="M16" s="9" t="s">
        <v>30</v>
      </c>
      <c r="N16" s="9" t="s">
        <v>30</v>
      </c>
      <c r="O16" s="9" t="s">
        <v>30</v>
      </c>
      <c r="P16" s="20">
        <v>0</v>
      </c>
      <c r="Q16" s="11">
        <v>0</v>
      </c>
      <c r="R16" s="11">
        <v>10</v>
      </c>
    </row>
    <row r="17" spans="3:18" ht="15" thickBot="1" thickTop="1">
      <c r="C17" s="4">
        <v>2</v>
      </c>
      <c r="D17" s="20">
        <f>SQRT((INDEX(Grid12_x,2)-INDEX(Grid12_x,1))^2+(INDEX(Grid12_y,2)-INDEX(Grid12_y,1))^2)</f>
        <v>10</v>
      </c>
      <c r="E17" s="9" t="s">
        <v>30</v>
      </c>
      <c r="F17" s="9">
        <f>SQRT((INDEX(Grid12_x,2)-INDEX(Grid12_x,3))^2+(INDEX(Grid12_y,2)-INDEX(Grid12_y,3))^2)</f>
        <v>22.360679774997898</v>
      </c>
      <c r="G17" s="9">
        <f>SQRT((INDEX(Grid12_x,2)-INDEX(Grid12_x,4))^2+(INDEX(Grid12_y,2)-INDEX(Grid12_y,4))^2)</f>
        <v>14.142135623730951</v>
      </c>
      <c r="H17" s="9">
        <f>SQRT((INDEX(Grid12_x,2)-INDEX(Grid12_x,5))^2+(INDEX(Grid12_y,2)-INDEX(Grid12_y,5))^2)</f>
        <v>10</v>
      </c>
      <c r="I17" s="9">
        <f>SQRT((INDEX(Grid12_x,2)-INDEX(Grid12_x,6))^2+(INDEX(Grid12_y,2)-INDEX(Grid12_y,6))^2)</f>
        <v>14.142135623730951</v>
      </c>
      <c r="J17" s="9">
        <f>SQRT((INDEX(Grid12_x,2)-INDEX(Grid12_x,7))^2+(INDEX(Grid12_y,2)-INDEX(Grid12_y,7))^2)</f>
        <v>28.284271247461902</v>
      </c>
      <c r="K17" s="9">
        <f>SQRT((INDEX(Grid12_x,2)-INDEX(Grid12_x,8))^2+(INDEX(Grid12_y,2)-INDEX(Grid12_y,8))^2)</f>
        <v>22.360679774997898</v>
      </c>
      <c r="L17" s="9">
        <f>SQRT((INDEX(Grid12_x,2)-INDEX(Grid12_x,9))^2+(INDEX(Grid12_y,2)-INDEX(Grid12_y,9))^2)</f>
        <v>20</v>
      </c>
      <c r="M17" s="9">
        <f>SQRT((INDEX(Grid12_x,2)-INDEX(Grid12_x,10))^2+(INDEX(Grid12_y,2)-INDEX(Grid12_y,10))^2)</f>
        <v>22.360679774997898</v>
      </c>
      <c r="N17" s="9">
        <f>SQRT((INDEX(Grid12_x,2)-INDEX(Grid12_x,11))^2+(INDEX(Grid12_y,2)-INDEX(Grid12_y,11))^2)</f>
        <v>31.622776601683793</v>
      </c>
      <c r="O17" s="9">
        <f>SQRT((INDEX(Grid12_x,2)-INDEX(Grid12_x,12))^2+(INDEX(Grid12_y,2)-INDEX(Grid12_y,12))^2)</f>
        <v>30</v>
      </c>
      <c r="P17" s="9" t="s">
        <v>30</v>
      </c>
      <c r="Q17" s="11">
        <v>0</v>
      </c>
      <c r="R17" s="11">
        <v>20</v>
      </c>
    </row>
    <row r="18" spans="3:18" ht="15" thickBot="1" thickTop="1">
      <c r="C18" s="4">
        <v>3</v>
      </c>
      <c r="D18" s="9">
        <f>SQRT((INDEX(Grid12_x,3)-INDEX(Grid12_x,1))^2+(INDEX(Grid12_y,3)-INDEX(Grid12_y,1))^2)</f>
        <v>14.142135623730951</v>
      </c>
      <c r="E18" s="9">
        <f>SQRT((INDEX(Grid12_x,3)-INDEX(Grid12_x,2))^2+(INDEX(Grid12_y,3)-INDEX(Grid12_y,2))^2)</f>
        <v>22.360679774997898</v>
      </c>
      <c r="F18" s="9" t="s">
        <v>30</v>
      </c>
      <c r="G18" s="9">
        <f>SQRT((INDEX(Grid12_x,3)-INDEX(Grid12_x,4))^2+(INDEX(Grid12_y,3)-INDEX(Grid12_y,4))^2)</f>
        <v>10</v>
      </c>
      <c r="H18" s="9">
        <f>SQRT((INDEX(Grid12_x,3)-INDEX(Grid12_x,5))^2+(INDEX(Grid12_y,3)-INDEX(Grid12_y,5))^2)</f>
        <v>20</v>
      </c>
      <c r="I18" s="9">
        <f>SQRT((INDEX(Grid12_x,3)-INDEX(Grid12_x,6))^2+(INDEX(Grid12_y,3)-INDEX(Grid12_y,6))^2)</f>
        <v>30</v>
      </c>
      <c r="J18" s="20">
        <f>SQRT((INDEX(Grid12_x,3)-INDEX(Grid12_x,7))^2+(INDEX(Grid12_y,3)-INDEX(Grid12_y,7))^2)</f>
        <v>10</v>
      </c>
      <c r="K18" s="9">
        <f>SQRT((INDEX(Grid12_x,3)-INDEX(Grid12_x,8))^2+(INDEX(Grid12_y,3)-INDEX(Grid12_y,8))^2)</f>
        <v>14.142135623730951</v>
      </c>
      <c r="L18" s="9">
        <f>SQRT((INDEX(Grid12_x,3)-INDEX(Grid12_x,9))^2+(INDEX(Grid12_y,3)-INDEX(Grid12_y,9))^2)</f>
        <v>22.360679774997898</v>
      </c>
      <c r="M18" s="9">
        <f>SQRT((INDEX(Grid12_x,3)-INDEX(Grid12_x,10))^2+(INDEX(Grid12_y,3)-INDEX(Grid12_y,10))^2)</f>
        <v>31.622776601683793</v>
      </c>
      <c r="N18" s="9">
        <f>SQRT((INDEX(Grid12_x,3)-INDEX(Grid12_x,11))^2+(INDEX(Grid12_y,3)-INDEX(Grid12_y,11))^2)</f>
        <v>22.360679774997898</v>
      </c>
      <c r="O18" s="9">
        <f>SQRT((INDEX(Grid12_x,3)-INDEX(Grid12_x,12))^2+(INDEX(Grid12_y,3)-INDEX(Grid12_y,12))^2)</f>
        <v>28.284271247461902</v>
      </c>
      <c r="P18" s="9" t="s">
        <v>30</v>
      </c>
      <c r="Q18" s="11">
        <v>10</v>
      </c>
      <c r="R18" s="11">
        <v>0</v>
      </c>
    </row>
    <row r="19" spans="3:18" ht="15" thickBot="1" thickTop="1">
      <c r="C19" s="4">
        <v>4</v>
      </c>
      <c r="D19" s="9">
        <f>SQRT((INDEX(Grid12_x,4)-INDEX(Grid12_x,1))^2+(INDEX(Grid12_y,4)-INDEX(Grid12_y,1))^2)</f>
        <v>10</v>
      </c>
      <c r="E19" s="9">
        <f>SQRT((INDEX(Grid12_x,4)-INDEX(Grid12_x,2))^2+(INDEX(Grid12_y,4)-INDEX(Grid12_y,2))^2)</f>
        <v>14.142135623730951</v>
      </c>
      <c r="F19" s="9">
        <f>SQRT((INDEX(Grid12_x,4)-INDEX(Grid12_x,3))^2+(INDEX(Grid12_y,4)-INDEX(Grid12_y,3))^2)</f>
        <v>10</v>
      </c>
      <c r="G19" s="9" t="s">
        <v>30</v>
      </c>
      <c r="H19" s="20">
        <f>SQRT((INDEX(Grid12_x,4)-INDEX(Grid12_x,5))^2+(INDEX(Grid12_y,4)-INDEX(Grid12_y,5))^2)</f>
        <v>10</v>
      </c>
      <c r="I19" s="9">
        <f>SQRT((INDEX(Grid12_x,4)-INDEX(Grid12_x,6))^2+(INDEX(Grid12_y,4)-INDEX(Grid12_y,6))^2)</f>
        <v>20</v>
      </c>
      <c r="J19" s="9">
        <f>SQRT((INDEX(Grid12_x,4)-INDEX(Grid12_x,7))^2+(INDEX(Grid12_y,4)-INDEX(Grid12_y,7))^2)</f>
        <v>14.142135623730951</v>
      </c>
      <c r="K19" s="9">
        <f>SQRT((INDEX(Grid12_x,4)-INDEX(Grid12_x,8))^2+(INDEX(Grid12_y,4)-INDEX(Grid12_y,8))^2)</f>
        <v>10</v>
      </c>
      <c r="L19" s="9">
        <f>SQRT((INDEX(Grid12_x,4)-INDEX(Grid12_x,9))^2+(INDEX(Grid12_y,4)-INDEX(Grid12_y,9))^2)</f>
        <v>14.142135623730951</v>
      </c>
      <c r="M19" s="9">
        <f>SQRT((INDEX(Grid12_x,4)-INDEX(Grid12_x,10))^2+(INDEX(Grid12_y,4)-INDEX(Grid12_y,10))^2)</f>
        <v>22.360679774997898</v>
      </c>
      <c r="N19" s="9">
        <f>SQRT((INDEX(Grid12_x,4)-INDEX(Grid12_x,11))^2+(INDEX(Grid12_y,4)-INDEX(Grid12_y,11))^2)</f>
        <v>20</v>
      </c>
      <c r="O19" s="9">
        <f>SQRT((INDEX(Grid12_x,4)-INDEX(Grid12_x,12))^2+(INDEX(Grid12_y,4)-INDEX(Grid12_y,12))^2)</f>
        <v>22.360679774997898</v>
      </c>
      <c r="P19" s="9" t="s">
        <v>30</v>
      </c>
      <c r="Q19" s="11">
        <v>10</v>
      </c>
      <c r="R19" s="11">
        <v>10</v>
      </c>
    </row>
    <row r="20" spans="3:18" ht="15" thickBot="1" thickTop="1">
      <c r="C20" s="4">
        <v>5</v>
      </c>
      <c r="D20" s="9">
        <f>SQRT((INDEX(Grid12_x,5)-INDEX(Grid12_x,1))^2+(INDEX(Grid12_y,5)-INDEX(Grid12_y,1))^2)</f>
        <v>14.142135623730951</v>
      </c>
      <c r="E20" s="20">
        <f>SQRT((INDEX(Grid12_x,5)-INDEX(Grid12_x,2))^2+(INDEX(Grid12_y,5)-INDEX(Grid12_y,2))^2)</f>
        <v>10</v>
      </c>
      <c r="F20" s="9">
        <f>SQRT((INDEX(Grid12_x,5)-INDEX(Grid12_x,3))^2+(INDEX(Grid12_y,5)-INDEX(Grid12_y,3))^2)</f>
        <v>20</v>
      </c>
      <c r="G20" s="9">
        <f>SQRT((INDEX(Grid12_x,5)-INDEX(Grid12_x,4))^2+(INDEX(Grid12_y,5)-INDEX(Grid12_y,4))^2)</f>
        <v>10</v>
      </c>
      <c r="H20" s="9" t="s">
        <v>30</v>
      </c>
      <c r="I20" s="9">
        <f>SQRT((INDEX(Grid12_x,5)-INDEX(Grid12_x,6))^2+(INDEX(Grid12_y,5)-INDEX(Grid12_y,6))^2)</f>
        <v>10</v>
      </c>
      <c r="J20" s="9">
        <f>SQRT((INDEX(Grid12_x,5)-INDEX(Grid12_x,7))^2+(INDEX(Grid12_y,5)-INDEX(Grid12_y,7))^2)</f>
        <v>22.360679774997898</v>
      </c>
      <c r="K20" s="9">
        <f>SQRT((INDEX(Grid12_x,5)-INDEX(Grid12_x,8))^2+(INDEX(Grid12_y,5)-INDEX(Grid12_y,8))^2)</f>
        <v>14.142135623730951</v>
      </c>
      <c r="L20" s="9">
        <f>SQRT((INDEX(Grid12_x,5)-INDEX(Grid12_x,9))^2+(INDEX(Grid12_y,5)-INDEX(Grid12_y,9))^2)</f>
        <v>10</v>
      </c>
      <c r="M20" s="9">
        <f>SQRT((INDEX(Grid12_x,5)-INDEX(Grid12_x,10))^2+(INDEX(Grid12_y,5)-INDEX(Grid12_y,10))^2)</f>
        <v>14.142135623730951</v>
      </c>
      <c r="N20" s="9">
        <f>SQRT((INDEX(Grid12_x,5)-INDEX(Grid12_x,11))^2+(INDEX(Grid12_y,5)-INDEX(Grid12_y,11))^2)</f>
        <v>22.360679774997898</v>
      </c>
      <c r="O20" s="9">
        <f>SQRT((INDEX(Grid12_x,5)-INDEX(Grid12_x,12))^2+(INDEX(Grid12_y,5)-INDEX(Grid12_y,12))^2)</f>
        <v>20</v>
      </c>
      <c r="P20" s="9" t="s">
        <v>30</v>
      </c>
      <c r="Q20" s="11">
        <v>10</v>
      </c>
      <c r="R20" s="11">
        <v>20</v>
      </c>
    </row>
    <row r="21" spans="3:18" ht="15" thickBot="1" thickTop="1">
      <c r="C21" s="4">
        <v>6</v>
      </c>
      <c r="D21" s="9">
        <f>SQRT((INDEX(Grid12_x,6)-INDEX(Grid12_x,1))^2+(INDEX(Grid12_y,6)-INDEX(Grid12_y,1))^2)</f>
        <v>22.360679774997898</v>
      </c>
      <c r="E21" s="9">
        <f>SQRT((INDEX(Grid12_x,6)-INDEX(Grid12_x,2))^2+(INDEX(Grid12_y,6)-INDEX(Grid12_y,2))^2)</f>
        <v>14.142135623730951</v>
      </c>
      <c r="F21" s="20">
        <f>SQRT((INDEX(Grid12_x,6)-INDEX(Grid12_x,3))^2+(INDEX(Grid12_y,6)-INDEX(Grid12_y,3))^2)</f>
        <v>30</v>
      </c>
      <c r="G21" s="9">
        <f>SQRT((INDEX(Grid12_x,6)-INDEX(Grid12_x,4))^2+(INDEX(Grid12_y,6)-INDEX(Grid12_y,4))^2)</f>
        <v>20</v>
      </c>
      <c r="H21" s="9">
        <f>SQRT((INDEX(Grid12_x,6)-INDEX(Grid12_x,5))^2+(INDEX(Grid12_y,6)-INDEX(Grid12_y,5))^2)</f>
        <v>10</v>
      </c>
      <c r="I21" s="9" t="s">
        <v>30</v>
      </c>
      <c r="J21" s="9">
        <f>SQRT((INDEX(Grid12_x,6)-INDEX(Grid12_x,7))^2+(INDEX(Grid12_y,6)-INDEX(Grid12_y,7))^2)</f>
        <v>31.622776601683793</v>
      </c>
      <c r="K21" s="9">
        <f>SQRT((INDEX(Grid12_x,6)-INDEX(Grid12_x,8))^2+(INDEX(Grid12_y,6)-INDEX(Grid12_y,8))^2)</f>
        <v>22.360679774997898</v>
      </c>
      <c r="L21" s="9">
        <f>SQRT((INDEX(Grid12_x,6)-INDEX(Grid12_x,9))^2+(INDEX(Grid12_y,6)-INDEX(Grid12_y,9))^2)</f>
        <v>14.142135623730951</v>
      </c>
      <c r="M21" s="9">
        <f>SQRT((INDEX(Grid12_x,6)-INDEX(Grid12_x,10))^2+(INDEX(Grid12_y,6)-INDEX(Grid12_y,10))^2)</f>
        <v>10</v>
      </c>
      <c r="N21" s="9">
        <f>SQRT((INDEX(Grid12_x,6)-INDEX(Grid12_x,11))^2+(INDEX(Grid12_y,6)-INDEX(Grid12_y,11))^2)</f>
        <v>28.284271247461902</v>
      </c>
      <c r="O21" s="9">
        <f>SQRT((INDEX(Grid12_x,6)-INDEX(Grid12_x,12))^2+(INDEX(Grid12_y,6)-INDEX(Grid12_y,12))^2)</f>
        <v>22.360679774997898</v>
      </c>
      <c r="P21" s="9" t="s">
        <v>30</v>
      </c>
      <c r="Q21" s="11">
        <v>10</v>
      </c>
      <c r="R21" s="11">
        <v>30</v>
      </c>
    </row>
    <row r="22" spans="3:18" ht="15" thickBot="1" thickTop="1">
      <c r="C22" s="4">
        <v>7</v>
      </c>
      <c r="D22" s="9">
        <f>SQRT((INDEX(Grid12_x,7)-INDEX(Grid12_x,1))^2+(INDEX(Grid12_y,7)-INDEX(Grid12_y,1))^2)</f>
        <v>22.360679774997898</v>
      </c>
      <c r="E22" s="9">
        <f>SQRT((INDEX(Grid12_x,7)-INDEX(Grid12_x,2))^2+(INDEX(Grid12_y,7)-INDEX(Grid12_y,2))^2)</f>
        <v>28.284271247461902</v>
      </c>
      <c r="F22" s="9">
        <f>SQRT((INDEX(Grid12_x,7)-INDEX(Grid12_x,3))^2+(INDEX(Grid12_y,7)-INDEX(Grid12_y,3))^2)</f>
        <v>10</v>
      </c>
      <c r="G22" s="9">
        <f>SQRT((INDEX(Grid12_x,7)-INDEX(Grid12_x,4))^2+(INDEX(Grid12_y,7)-INDEX(Grid12_y,4))^2)</f>
        <v>14.142135623730951</v>
      </c>
      <c r="H22" s="9">
        <f>SQRT((INDEX(Grid12_x,7)-INDEX(Grid12_x,5))^2+(INDEX(Grid12_y,7)-INDEX(Grid12_y,5))^2)</f>
        <v>22.360679774997898</v>
      </c>
      <c r="I22" s="9">
        <f>SQRT((INDEX(Grid12_x,7)-INDEX(Grid12_x,6))^2+(INDEX(Grid12_y,7)-INDEX(Grid12_y,6))^2)</f>
        <v>31.622776601683793</v>
      </c>
      <c r="J22" s="9" t="s">
        <v>30</v>
      </c>
      <c r="K22" s="9">
        <f>SQRT((INDEX(Grid12_x,7)-INDEX(Grid12_x,8))^2+(INDEX(Grid12_y,7)-INDEX(Grid12_y,8))^2)</f>
        <v>10</v>
      </c>
      <c r="L22" s="9">
        <f>SQRT((INDEX(Grid12_x,7)-INDEX(Grid12_x,9))^2+(INDEX(Grid12_y,7)-INDEX(Grid12_y,9))^2)</f>
        <v>20</v>
      </c>
      <c r="M22" s="9">
        <f>SQRT((INDEX(Grid12_x,7)-INDEX(Grid12_x,10))^2+(INDEX(Grid12_y,7)-INDEX(Grid12_y,10))^2)</f>
        <v>30</v>
      </c>
      <c r="N22" s="20">
        <f>SQRT((INDEX(Grid12_x,7)-INDEX(Grid12_x,11))^2+(INDEX(Grid12_y,7)-INDEX(Grid12_y,11))^2)</f>
        <v>14.142135623730951</v>
      </c>
      <c r="O22" s="9">
        <f>SQRT((INDEX(Grid12_x,7)-INDEX(Grid12_x,12))^2+(INDEX(Grid12_y,7)-INDEX(Grid12_y,12))^2)</f>
        <v>22.360679774997898</v>
      </c>
      <c r="P22" s="9" t="s">
        <v>30</v>
      </c>
      <c r="Q22" s="11">
        <v>20</v>
      </c>
      <c r="R22" s="11">
        <v>0</v>
      </c>
    </row>
    <row r="23" spans="3:18" ht="15" thickBot="1" thickTop="1">
      <c r="C23" s="4">
        <v>8</v>
      </c>
      <c r="D23" s="9">
        <f>SQRT((INDEX(Grid12_x,8)-INDEX(Grid12_x,1))^2+(INDEX(Grid12_y,8)-INDEX(Grid12_y,1))^2)</f>
        <v>20</v>
      </c>
      <c r="E23" s="9">
        <f>SQRT((INDEX(Grid12_x,8)-INDEX(Grid12_x,2))^2+(INDEX(Grid12_y,8)-INDEX(Grid12_y,2))^2)</f>
        <v>22.360679774997898</v>
      </c>
      <c r="F23" s="9">
        <f>SQRT((INDEX(Grid12_x,8)-INDEX(Grid12_x,3))^2+(INDEX(Grid12_y,8)-INDEX(Grid12_y,3))^2)</f>
        <v>14.142135623730951</v>
      </c>
      <c r="G23" s="20">
        <f>SQRT((INDEX(Grid12_x,8)-INDEX(Grid12_x,4))^2+(INDEX(Grid12_y,8)-INDEX(Grid12_y,4))^2)</f>
        <v>10</v>
      </c>
      <c r="H23" s="9">
        <f>SQRT((INDEX(Grid12_x,8)-INDEX(Grid12_x,5))^2+(INDEX(Grid12_y,8)-INDEX(Grid12_y,5))^2)</f>
        <v>14.142135623730951</v>
      </c>
      <c r="I23" s="9">
        <f>SQRT((INDEX(Grid12_x,8)-INDEX(Grid12_x,6))^2+(INDEX(Grid12_y,8)-INDEX(Grid12_y,6))^2)</f>
        <v>22.360679774997898</v>
      </c>
      <c r="J23" s="9">
        <f>SQRT((INDEX(Grid12_x,8)-INDEX(Grid12_x,7))^2+(INDEX(Grid12_y,8)-INDEX(Grid12_y,7))^2)</f>
        <v>10</v>
      </c>
      <c r="K23" s="9" t="s">
        <v>30</v>
      </c>
      <c r="L23" s="9">
        <f>SQRT((INDEX(Grid12_x,8)-INDEX(Grid12_x,9))^2+(INDEX(Grid12_y,8)-INDEX(Grid12_y,9))^2)</f>
        <v>10</v>
      </c>
      <c r="M23" s="9">
        <f>SQRT((INDEX(Grid12_x,8)-INDEX(Grid12_x,10))^2+(INDEX(Grid12_y,8)-INDEX(Grid12_y,10))^2)</f>
        <v>20</v>
      </c>
      <c r="N23" s="9">
        <f>SQRT((INDEX(Grid12_x,8)-INDEX(Grid12_x,11))^2+(INDEX(Grid12_y,8)-INDEX(Grid12_y,11))^2)</f>
        <v>10</v>
      </c>
      <c r="O23" s="9">
        <f>SQRT((INDEX(Grid12_x,8)-INDEX(Grid12_x,12))^2+(INDEX(Grid12_y,8)-INDEX(Grid12_y,12))^2)</f>
        <v>14.142135623730951</v>
      </c>
      <c r="P23" s="9" t="s">
        <v>30</v>
      </c>
      <c r="Q23" s="11">
        <v>20</v>
      </c>
      <c r="R23" s="11">
        <v>10</v>
      </c>
    </row>
    <row r="24" spans="3:18" ht="15" thickBot="1" thickTop="1">
      <c r="C24" s="4">
        <v>9</v>
      </c>
      <c r="D24" s="9">
        <f>SQRT((INDEX(Grid12_x,9)-INDEX(Grid12_x,1))^2+(INDEX(Grid12_y,9)-INDEX(Grid12_y,1))^2)</f>
        <v>22.360679774997898</v>
      </c>
      <c r="E24" s="9">
        <f>SQRT((INDEX(Grid12_x,9)-INDEX(Grid12_x,2))^2+(INDEX(Grid12_y,9)-INDEX(Grid12_y,2))^2)</f>
        <v>20</v>
      </c>
      <c r="F24" s="9">
        <f>SQRT((INDEX(Grid12_x,9)-INDEX(Grid12_x,3))^2+(INDEX(Grid12_y,9)-INDEX(Grid12_y,3))^2)</f>
        <v>22.360679774997898</v>
      </c>
      <c r="G24" s="9">
        <f>SQRT((INDEX(Grid12_x,9)-INDEX(Grid12_x,4))^2+(INDEX(Grid12_y,9)-INDEX(Grid12_y,4))^2)</f>
        <v>14.142135623730951</v>
      </c>
      <c r="H24" s="9">
        <f>SQRT((INDEX(Grid12_x,9)-INDEX(Grid12_x,5))^2+(INDEX(Grid12_y,9)-INDEX(Grid12_y,5))^2)</f>
        <v>10</v>
      </c>
      <c r="I24" s="9">
        <f>SQRT((INDEX(Grid12_x,9)-INDEX(Grid12_x,6))^2+(INDEX(Grid12_y,9)-INDEX(Grid12_y,6))^2)</f>
        <v>14.142135623730951</v>
      </c>
      <c r="J24" s="9">
        <f>SQRT((INDEX(Grid12_x,9)-INDEX(Grid12_x,7))^2+(INDEX(Grid12_y,9)-INDEX(Grid12_y,7))^2)</f>
        <v>20</v>
      </c>
      <c r="K24" s="20">
        <f>SQRT((INDEX(Grid12_x,9)-INDEX(Grid12_x,8))^2+(INDEX(Grid12_y,9)-INDEX(Grid12_y,8))^2)</f>
        <v>10</v>
      </c>
      <c r="L24" s="9" t="s">
        <v>30</v>
      </c>
      <c r="M24" s="9">
        <f>SQRT((INDEX(Grid12_x,9)-INDEX(Grid12_x,10))^2+(INDEX(Grid12_y,9)-INDEX(Grid12_y,10))^2)</f>
        <v>10</v>
      </c>
      <c r="N24" s="9">
        <f>SQRT((INDEX(Grid12_x,9)-INDEX(Grid12_x,11))^2+(INDEX(Grid12_y,9)-INDEX(Grid12_y,11))^2)</f>
        <v>14.142135623730951</v>
      </c>
      <c r="O24" s="9">
        <f>SQRT((INDEX(Grid12_x,9)-INDEX(Grid12_x,12))^2+(INDEX(Grid12_y,9)-INDEX(Grid12_y,12))^2)</f>
        <v>10</v>
      </c>
      <c r="P24" s="9" t="s">
        <v>30</v>
      </c>
      <c r="Q24" s="11">
        <v>20</v>
      </c>
      <c r="R24" s="11">
        <v>20</v>
      </c>
    </row>
    <row r="25" spans="3:18" ht="15" thickBot="1" thickTop="1">
      <c r="C25" s="4">
        <v>10</v>
      </c>
      <c r="D25" s="9">
        <f>SQRT((INDEX(Grid12_x,10)-INDEX(Grid12_x,1))^2+(INDEX(Grid12_y,10)-INDEX(Grid12_y,1))^2)</f>
        <v>28.284271247461902</v>
      </c>
      <c r="E25" s="9">
        <f>SQRT((INDEX(Grid12_x,10)-INDEX(Grid12_x,2))^2+(INDEX(Grid12_y,10)-INDEX(Grid12_y,2))^2)</f>
        <v>22.360679774997898</v>
      </c>
      <c r="F25" s="9">
        <f>SQRT((INDEX(Grid12_x,10)-INDEX(Grid12_x,3))^2+(INDEX(Grid12_y,10)-INDEX(Grid12_y,3))^2)</f>
        <v>31.622776601683793</v>
      </c>
      <c r="G25" s="9">
        <f>SQRT((INDEX(Grid12_x,10)-INDEX(Grid12_x,4))^2+(INDEX(Grid12_y,10)-INDEX(Grid12_y,4))^2)</f>
        <v>22.360679774997898</v>
      </c>
      <c r="H25" s="9">
        <f>SQRT((INDEX(Grid12_x,10)-INDEX(Grid12_x,5))^2+(INDEX(Grid12_y,10)-INDEX(Grid12_y,5))^2)</f>
        <v>14.142135623730951</v>
      </c>
      <c r="I25" s="20">
        <f>SQRT((INDEX(Grid12_x,10)-INDEX(Grid12_x,6))^2+(INDEX(Grid12_y,10)-INDEX(Grid12_y,6))^2)</f>
        <v>10</v>
      </c>
      <c r="J25" s="9">
        <f>SQRT((INDEX(Grid12_x,10)-INDEX(Grid12_x,7))^2+(INDEX(Grid12_y,10)-INDEX(Grid12_y,7))^2)</f>
        <v>30</v>
      </c>
      <c r="K25" s="9">
        <f>SQRT((INDEX(Grid12_x,10)-INDEX(Grid12_x,8))^2+(INDEX(Grid12_y,10)-INDEX(Grid12_y,8))^2)</f>
        <v>20</v>
      </c>
      <c r="L25" s="9">
        <f>SQRT((INDEX(Grid12_x,10)-INDEX(Grid12_x,9))^2+(INDEX(Grid12_y,10)-INDEX(Grid12_y,9))^2)</f>
        <v>10</v>
      </c>
      <c r="M25" s="9" t="s">
        <v>30</v>
      </c>
      <c r="N25" s="9">
        <f>SQRT((INDEX(Grid12_x,10)-INDEX(Grid12_x,11))^2+(INDEX(Grid12_y,10)-INDEX(Grid12_y,11))^2)</f>
        <v>22.360679774997898</v>
      </c>
      <c r="O25" s="9">
        <f>SQRT((INDEX(Grid12_x,10)-INDEX(Grid12_x,12))^2+(INDEX(Grid12_y,10)-INDEX(Grid12_y,12))^2)</f>
        <v>14.142135623730951</v>
      </c>
      <c r="P25" s="9" t="s">
        <v>30</v>
      </c>
      <c r="Q25" s="11">
        <v>20</v>
      </c>
      <c r="R25" s="11">
        <v>30</v>
      </c>
    </row>
    <row r="26" spans="3:18" ht="15" thickBot="1" thickTop="1">
      <c r="C26" s="4">
        <v>11</v>
      </c>
      <c r="D26" s="9">
        <f>SQRT((INDEX(Grid12_x,11)-INDEX(Grid12_x,1))^2+(INDEX(Grid12_y,11)-INDEX(Grid12_y,1))^2)</f>
        <v>30</v>
      </c>
      <c r="E26" s="9">
        <f>SQRT((INDEX(Grid12_x,11)-INDEX(Grid12_x,2))^2+(INDEX(Grid12_y,11)-INDEX(Grid12_y,2))^2)</f>
        <v>31.622776601683793</v>
      </c>
      <c r="F26" s="9">
        <f>SQRT((INDEX(Grid12_x,11)-INDEX(Grid12_x,3))^2+(INDEX(Grid12_y,11)-INDEX(Grid12_y,3))^2)</f>
        <v>22.360679774997898</v>
      </c>
      <c r="G26" s="9">
        <f>SQRT((INDEX(Grid12_x,11)-INDEX(Grid12_x,4))^2+(INDEX(Grid12_y,11)-INDEX(Grid12_y,4))^2)</f>
        <v>20</v>
      </c>
      <c r="H26" s="9">
        <f>SQRT((INDEX(Grid12_x,11)-INDEX(Grid12_x,5))^2+(INDEX(Grid12_y,11)-INDEX(Grid12_y,5))^2)</f>
        <v>22.360679774997898</v>
      </c>
      <c r="I26" s="9">
        <f>SQRT((INDEX(Grid12_x,11)-INDEX(Grid12_x,6))^2+(INDEX(Grid12_y,11)-INDEX(Grid12_y,6))^2)</f>
        <v>28.284271247461902</v>
      </c>
      <c r="J26" s="9">
        <f>SQRT((INDEX(Grid12_x,11)-INDEX(Grid12_x,7))^2+(INDEX(Grid12_y,11)-INDEX(Grid12_y,7))^2)</f>
        <v>14.142135623730951</v>
      </c>
      <c r="K26" s="9">
        <f>SQRT((INDEX(Grid12_x,11)-INDEX(Grid12_x,8))^2+(INDEX(Grid12_y,11)-INDEX(Grid12_y,8))^2)</f>
        <v>10</v>
      </c>
      <c r="L26" s="9">
        <f>SQRT((INDEX(Grid12_x,11)-INDEX(Grid12_x,9))^2+(INDEX(Grid12_y,11)-INDEX(Grid12_y,9))^2)</f>
        <v>14.142135623730951</v>
      </c>
      <c r="M26" s="9">
        <f>SQRT((INDEX(Grid12_x,11)-INDEX(Grid12_x,10))^2+(INDEX(Grid12_y,11)-INDEX(Grid12_y,10))^2)</f>
        <v>22.360679774997898</v>
      </c>
      <c r="N26" s="9" t="s">
        <v>30</v>
      </c>
      <c r="O26" s="20">
        <f>SQRT((INDEX(Grid12_x,11)-INDEX(Grid12_x,12))^2+(INDEX(Grid12_y,11)-INDEX(Grid12_y,12))^2)</f>
        <v>10</v>
      </c>
      <c r="P26" s="9" t="s">
        <v>30</v>
      </c>
      <c r="Q26" s="11">
        <v>30</v>
      </c>
      <c r="R26" s="11">
        <v>10</v>
      </c>
    </row>
    <row r="27" spans="3:18" ht="15" thickBot="1" thickTop="1">
      <c r="C27" s="4">
        <v>12</v>
      </c>
      <c r="D27" s="9">
        <f>SQRT((INDEX(Grid12_x,12)-INDEX(Grid12_x,1))^2+(INDEX(Grid12_y,12)-INDEX(Grid12_y,1))^2)</f>
        <v>31.622776601683793</v>
      </c>
      <c r="E27" s="9">
        <f>SQRT((INDEX(Grid12_x,12)-INDEX(Grid12_x,2))^2+(INDEX(Grid12_y,12)-INDEX(Grid12_y,2))^2)</f>
        <v>30</v>
      </c>
      <c r="F27" s="9">
        <f>SQRT((INDEX(Grid12_x,12)-INDEX(Grid12_x,3))^2+(INDEX(Grid12_y,12)-INDEX(Grid12_y,3))^2)</f>
        <v>28.284271247461902</v>
      </c>
      <c r="G27" s="9">
        <f>SQRT((INDEX(Grid12_x,12)-INDEX(Grid12_x,4))^2+(INDEX(Grid12_y,12)-INDEX(Grid12_y,4))^2)</f>
        <v>22.360679774997898</v>
      </c>
      <c r="H27" s="9">
        <f>SQRT((INDEX(Grid12_x,12)-INDEX(Grid12_x,5))^2+(INDEX(Grid12_y,12)-INDEX(Grid12_y,5))^2)</f>
        <v>20</v>
      </c>
      <c r="I27" s="9">
        <f>SQRT((INDEX(Grid12_x,12)-INDEX(Grid12_x,6))^2+(INDEX(Grid12_y,12)-INDEX(Grid12_y,6))^2)</f>
        <v>22.360679774997898</v>
      </c>
      <c r="J27" s="9">
        <f>SQRT((INDEX(Grid12_x,12)-INDEX(Grid12_x,7))^2+(INDEX(Grid12_y,12)-INDEX(Grid12_y,7))^2)</f>
        <v>22.360679774997898</v>
      </c>
      <c r="K27" s="9">
        <f>SQRT((INDEX(Grid12_x,12)-INDEX(Grid12_x,8))^2+(INDEX(Grid12_y,12)-INDEX(Grid12_y,8))^2)</f>
        <v>14.142135623730951</v>
      </c>
      <c r="L27" s="20">
        <f>SQRT((INDEX(Grid12_x,12)-INDEX(Grid12_x,9))^2+(INDEX(Grid12_y,12)-INDEX(Grid12_y,9))^2)</f>
        <v>10</v>
      </c>
      <c r="M27" s="9">
        <f>SQRT((INDEX(Grid12_x,12)-INDEX(Grid12_x,10))^2+(INDEX(Grid12_y,12)-INDEX(Grid12_y,10))^2)</f>
        <v>14.142135623730951</v>
      </c>
      <c r="N27" s="9">
        <f>SQRT((INDEX(Grid12_x,12)-INDEX(Grid12_x,11))^2+(INDEX(Grid12_y,12)-INDEX(Grid12_y,11))^2)</f>
        <v>10</v>
      </c>
      <c r="O27" s="9" t="s">
        <v>30</v>
      </c>
      <c r="P27" s="9" t="s">
        <v>30</v>
      </c>
      <c r="Q27" s="11">
        <v>30</v>
      </c>
      <c r="R27" s="11">
        <v>20</v>
      </c>
    </row>
    <row r="28" spans="3:18" ht="15" thickBot="1" thickTop="1">
      <c r="C28" s="4">
        <v>13</v>
      </c>
      <c r="D28" s="9" t="s">
        <v>30</v>
      </c>
      <c r="E28" s="9">
        <f>SQRT((INDEX(Grid12_x,13)-INDEX(Grid12_x,2))^2+(INDEX(Grid12_y,13)-INDEX(Grid12_y,2))^2)</f>
        <v>10</v>
      </c>
      <c r="F28" s="9">
        <f>SQRT((INDEX(Grid12_x,13)-INDEX(Grid12_x,3))^2+(INDEX(Grid12_y,13)-INDEX(Grid12_y,3))^2)</f>
        <v>14.142135623730951</v>
      </c>
      <c r="G28" s="9">
        <f>SQRT((INDEX(Grid12_x,13)-INDEX(Grid12_x,4))^2+(INDEX(Grid12_y,13)-INDEX(Grid12_y,4))^2)</f>
        <v>10</v>
      </c>
      <c r="H28" s="9">
        <f>SQRT((INDEX(Grid12_x,13)-INDEX(Grid12_x,5))^2+(INDEX(Grid12_y,13)-INDEX(Grid12_y,5))^2)</f>
        <v>14.142135623730951</v>
      </c>
      <c r="I28" s="9">
        <f>SQRT((INDEX(Grid12_x,13)-INDEX(Grid12_x,6))^2+(INDEX(Grid12_y,13)-INDEX(Grid12_y,6))^2)</f>
        <v>22.360679774997898</v>
      </c>
      <c r="J28" s="9">
        <f>SQRT((INDEX(Grid12_x,13)-INDEX(Grid12_x,7))^2+(INDEX(Grid12_y,13)-INDEX(Grid12_y,7))^2)</f>
        <v>22.360679774997898</v>
      </c>
      <c r="K28" s="9">
        <f>SQRT((INDEX(Grid12_x,13)-INDEX(Grid12_x,8))^2+(INDEX(Grid12_y,13)-INDEX(Grid12_y,8))^2)</f>
        <v>20</v>
      </c>
      <c r="L28" s="9">
        <f>SQRT((INDEX(Grid12_x,13)-INDEX(Grid12_x,9))^2+(INDEX(Grid12_y,13)-INDEX(Grid12_y,9))^2)</f>
        <v>22.360679774997898</v>
      </c>
      <c r="M28" s="20">
        <f>SQRT((INDEX(Grid12_x,13)-INDEX(Grid12_x,10))^2+(INDEX(Grid12_y,13)-INDEX(Grid12_y,10))^2)</f>
        <v>28.284271247461902</v>
      </c>
      <c r="N28" s="9">
        <f>SQRT((INDEX(Grid12_x,13)-INDEX(Grid12_x,11))^2+(INDEX(Grid12_y,13)-INDEX(Grid12_y,11))^2)</f>
        <v>30</v>
      </c>
      <c r="O28" s="9">
        <f>SQRT((INDEX(Grid12_x,13)-INDEX(Grid12_x,12))^2+(INDEX(Grid12_y,13)-INDEX(Grid12_y,12))^2)</f>
        <v>31.622776601683793</v>
      </c>
      <c r="P28" s="9" t="s">
        <v>30</v>
      </c>
      <c r="Q28" s="11">
        <v>0</v>
      </c>
      <c r="R28" s="11">
        <v>10</v>
      </c>
    </row>
    <row r="29" ht="13.5" thickTop="1"/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2004-02-17T15:47:28Z</dcterms:created>
  <cp:category/>
  <cp:version/>
  <cp:contentType/>
  <cp:contentStatus/>
</cp:coreProperties>
</file>