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340" windowWidth="18860" windowHeight="11460" activeTab="0"/>
  </bookViews>
  <sheets>
    <sheet name="Functions" sheetId="1" r:id="rId1"/>
    <sheet name="Buttons" sheetId="2" r:id="rId2"/>
    <sheet name="Queues" sheetId="3" r:id="rId3"/>
    <sheet name="GCD" sheetId="4" r:id="rId4"/>
    <sheet name="Inventory" sheetId="5" r:id="rId5"/>
    <sheet name="Random" sheetId="6" r:id="rId6"/>
  </sheets>
  <externalReferences>
    <externalReference r:id="rId9"/>
    <externalReference r:id="rId10"/>
    <externalReference r:id="rId11"/>
  </externalReferences>
  <definedNames>
    <definedName name="Dice">'Random'!$D$4:$D$7</definedName>
    <definedName name="Inv1">'Inventory'!$C$2:$C$13</definedName>
    <definedName name="Inv1_DR">'Inventory'!$C$5</definedName>
    <definedName name="Inv1_EOQ">'Inventory'!$C$22</definedName>
    <definedName name="Inv1_Inst">'Inventory'!$C$14</definedName>
    <definedName name="Inv1_Opt">'Inventory'!$C$22</definedName>
    <definedName name="Inv1_Q">'Inventory'!$C$14</definedName>
    <definedName name="Inv2">'Inventory'!$E$2:$P$2</definedName>
    <definedName name="Q_Sample">'Queues'!$C$4:$C$8</definedName>
    <definedName name="Que1">#REF!</definedName>
    <definedName name="Que2">#REF!</definedName>
    <definedName name="Que3">#REF!</definedName>
    <definedName name="RV1">'Random'!$C$3:$C$5</definedName>
    <definedName name="RV2">'Random'!$C$9:$C$12</definedName>
    <definedName name="RV3">'Random'!$F$12:$F$14</definedName>
  </definedNames>
  <calcPr fullCalcOnLoad="1"/>
</workbook>
</file>

<file path=xl/sharedStrings.xml><?xml version="1.0" encoding="utf-8"?>
<sst xmlns="http://schemas.openxmlformats.org/spreadsheetml/2006/main" count="195" uniqueCount="127">
  <si>
    <t>RV_MEAN($H$3:$H$6)</t>
  </si>
  <si>
    <t>RV_VAR($H$3:$H$6)</t>
  </si>
  <si>
    <t>RV_SKEW($H$3:$H$6)</t>
  </si>
  <si>
    <t>RV_KURT($H$3:$H$6)</t>
  </si>
  <si>
    <t>RV_MEAN(RV3)</t>
  </si>
  <si>
    <t>RV_VAR(RV3)</t>
  </si>
  <si>
    <t>RV_SKEW(RV3)</t>
  </si>
  <si>
    <t>RV_KURT(RV3)</t>
  </si>
  <si>
    <t>RV_MEAN($F$17:$H$17)</t>
  </si>
  <si>
    <t>RV_VAR($F$17:$H$17)</t>
  </si>
  <si>
    <t>RV_SKEW($F$17:$H$17)</t>
  </si>
  <si>
    <t>RV_KURT($F$17:$H$17)</t>
  </si>
  <si>
    <t>n1</t>
  </si>
  <si>
    <t>n2</t>
  </si>
  <si>
    <t>GCD(r1,r2)</t>
  </si>
  <si>
    <t>LCM(r1,r2)</t>
  </si>
  <si>
    <t>n1/gcd</t>
  </si>
  <si>
    <t>n2/gcd</t>
  </si>
  <si>
    <t>Inventory</t>
  </si>
  <si>
    <t>Inv1</t>
  </si>
  <si>
    <t>Data Name</t>
  </si>
  <si>
    <t>Inf</t>
  </si>
  <si>
    <t>Demand Rate (/Week)</t>
  </si>
  <si>
    <t>Setup Cost (/order)</t>
  </si>
  <si>
    <t>Product Rev (/unit)</t>
  </si>
  <si>
    <t>Product Cost (/unit)</t>
  </si>
  <si>
    <t>Min. Quantity</t>
  </si>
  <si>
    <t>Max. Quantity</t>
  </si>
  <si>
    <t>Holding Cost Rate (%/Week)</t>
  </si>
  <si>
    <t>Other Holding Cost (/Week)</t>
  </si>
  <si>
    <t>Lead Time (Weeks)</t>
  </si>
  <si>
    <t>Lot Size</t>
  </si>
  <si>
    <t>Total Profit (/Week)</t>
  </si>
  <si>
    <t>Inventory Cost (/Week)</t>
  </si>
  <si>
    <t>Mean Inventory Level</t>
  </si>
  <si>
    <t>Maximum Inventory (/cycle)</t>
  </si>
  <si>
    <t>Reorder Point</t>
  </si>
  <si>
    <t>Cycle Time (Weeks)</t>
  </si>
  <si>
    <t>Mean Residence Time (Weeks)</t>
  </si>
  <si>
    <t>Optimum Lot Size</t>
  </si>
  <si>
    <t>Optimum Total Profit (/Week)</t>
  </si>
  <si>
    <t>Optimum Inventory Cost (/Week)</t>
  </si>
  <si>
    <t>Optimum Mean Inventory</t>
  </si>
  <si>
    <t>Optimum Maximum Inventory (/cycle)</t>
  </si>
  <si>
    <t>Optimum Reorder Point</t>
  </si>
  <si>
    <t>Optimum Cycle Time (Weeks)</t>
  </si>
  <si>
    <t>Optimum Residence Time (Weeks)</t>
  </si>
  <si>
    <t>Inv2</t>
  </si>
  <si>
    <t>Lot size</t>
  </si>
  <si>
    <t>EOQ</t>
  </si>
  <si>
    <t>Profit</t>
  </si>
  <si>
    <t>Profit EOQ</t>
  </si>
  <si>
    <t>PAJ_RAND(Seed)</t>
  </si>
  <si>
    <t>mu =</t>
  </si>
  <si>
    <t xml:space="preserve">sigma = </t>
  </si>
  <si>
    <t>PAJ_SimNORM(rn,$D$2,$D$3)</t>
  </si>
  <si>
    <t>***</t>
  </si>
  <si>
    <t>m</t>
  </si>
  <si>
    <t>AVERAGE</t>
  </si>
  <si>
    <t>PAJ_AVERAGE(10)</t>
  </si>
  <si>
    <t>PAJ_AVERAGE(5)</t>
  </si>
  <si>
    <t xml:space="preserve">m = </t>
  </si>
  <si>
    <t>PAJ_AVERAGE(m)</t>
  </si>
  <si>
    <t>Series</t>
  </si>
  <si>
    <t>PAJ_REG_A</t>
  </si>
  <si>
    <t>PAJ_REG_B</t>
  </si>
  <si>
    <t>m =10</t>
  </si>
  <si>
    <t>m =5</t>
  </si>
  <si>
    <t>Reg. Coef . At time 0</t>
  </si>
  <si>
    <t>Projection</t>
  </si>
  <si>
    <t>PAJ_MAD(X4:X13)</t>
  </si>
  <si>
    <t>PAJ_findname("Paul")</t>
  </si>
  <si>
    <t>Add Form</t>
  </si>
  <si>
    <t>Solve</t>
  </si>
  <si>
    <t>Arrival Rate</t>
  </si>
  <si>
    <t>Type</t>
  </si>
  <si>
    <t>Mean Number at Station</t>
  </si>
  <si>
    <t>Mean Time at Station</t>
  </si>
  <si>
    <t>Mean Number in Queue</t>
  </si>
  <si>
    <t>Mean Time in Queue</t>
  </si>
  <si>
    <t>Mean Number in Service</t>
  </si>
  <si>
    <t>Mean Time in Service</t>
  </si>
  <si>
    <t>Throughput Rate</t>
  </si>
  <si>
    <t>Efficiency</t>
  </si>
  <si>
    <t>Probability All Servers Idle</t>
  </si>
  <si>
    <t>Prob. All Servers Busy</t>
  </si>
  <si>
    <t>Prob. System Full</t>
  </si>
  <si>
    <t>Critical Wait Time</t>
  </si>
  <si>
    <t>P(Wait &gt;= Critical Wait)</t>
  </si>
  <si>
    <t>P(0)</t>
  </si>
  <si>
    <t>P(1)</t>
  </si>
  <si>
    <t>P(2)</t>
  </si>
  <si>
    <t>P(3)</t>
  </si>
  <si>
    <t>P(4)</t>
  </si>
  <si>
    <t>P(5)</t>
  </si>
  <si>
    <t>P(6)</t>
  </si>
  <si>
    <t>P(7)</t>
  </si>
  <si>
    <t>P(8)</t>
  </si>
  <si>
    <t>P(9)</t>
  </si>
  <si>
    <t>P(10)</t>
  </si>
  <si>
    <t>Service Rate</t>
  </si>
  <si>
    <t>Channels</t>
  </si>
  <si>
    <t>Max. System</t>
  </si>
  <si>
    <t>Population</t>
  </si>
  <si>
    <t>Avg. Number in Queue</t>
  </si>
  <si>
    <t>Random Variable</t>
  </si>
  <si>
    <t>Distribution</t>
  </si>
  <si>
    <t>mean (mu)</t>
  </si>
  <si>
    <t>standard deviation (sigma)</t>
  </si>
  <si>
    <t>RV1</t>
  </si>
  <si>
    <t>Normal</t>
  </si>
  <si>
    <t>Mean</t>
  </si>
  <si>
    <t>Variance</t>
  </si>
  <si>
    <t>Skewness</t>
  </si>
  <si>
    <t>Kurtosis</t>
  </si>
  <si>
    <t>lower limit (a)</t>
  </si>
  <si>
    <t>mode (m)</t>
  </si>
  <si>
    <t>upper limit (b)</t>
  </si>
  <si>
    <t>RV2</t>
  </si>
  <si>
    <t>Triangular_Int</t>
  </si>
  <si>
    <t>Q_Lq(K3:O3)</t>
  </si>
  <si>
    <t>Q_Lq(K4:O4)</t>
  </si>
  <si>
    <t>Q_Lq(K5:O5)</t>
  </si>
  <si>
    <t>Q_Lq(K8:K12)</t>
  </si>
  <si>
    <t>Q_Lq(L8:L12)</t>
  </si>
  <si>
    <t>Q_Lq(M8:M12)</t>
  </si>
  <si>
    <t>Number in Queue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</si>
</sst>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0"/>
      <name val="Geneva"/>
      <family val="0"/>
    </font>
    <font>
      <sz val="12"/>
      <name val="Lucida Grand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ck"/>
      <top style="thin"/>
      <bottom style="thin"/>
    </border>
    <border>
      <left style="double"/>
      <right style="double"/>
      <top style="thin">
        <color indexed="61"/>
      </top>
      <bottom style="thin">
        <color indexed="61"/>
      </bottom>
    </border>
    <border>
      <left style="double"/>
      <right style="double"/>
      <top style="thin">
        <color indexed="61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>
        <color indexed="61"/>
      </bottom>
    </border>
    <border>
      <left style="double"/>
      <right style="double"/>
      <top style="thin">
        <color indexed="61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NumberForma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6" fontId="0" fillId="2" borderId="18" xfId="0" applyNumberFormat="1" applyFill="1" applyBorder="1" applyAlignment="1">
      <alignment horizontal="center"/>
    </xf>
    <xf numFmtId="6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6" fontId="0" fillId="2" borderId="17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76200</xdr:rowOff>
    </xdr:from>
    <xdr:to>
      <xdr:col>16</xdr:col>
      <xdr:colOff>400050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5640050" y="39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85725</xdr:rowOff>
    </xdr:from>
    <xdr:to>
      <xdr:col>16</xdr:col>
      <xdr:colOff>419100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5659100" y="56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76200</xdr:rowOff>
    </xdr:from>
    <xdr:to>
      <xdr:col>16</xdr:col>
      <xdr:colOff>428625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5668625" y="714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504825</xdr:colOff>
      <xdr:row>13</xdr:row>
      <xdr:rowOff>38100</xdr:rowOff>
    </xdr:from>
    <xdr:to>
      <xdr:col>10</xdr:col>
      <xdr:colOff>504825</xdr:colOff>
      <xdr:row>13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0420350" y="211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38100</xdr:rowOff>
    </xdr:from>
    <xdr:to>
      <xdr:col>11</xdr:col>
      <xdr:colOff>466725</xdr:colOff>
      <xdr:row>13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11449050" y="211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542925</xdr:colOff>
      <xdr:row>13</xdr:row>
      <xdr:rowOff>38100</xdr:rowOff>
    </xdr:from>
    <xdr:to>
      <xdr:col>12</xdr:col>
      <xdr:colOff>542925</xdr:colOff>
      <xdr:row>13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12592050" y="211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6</xdr:row>
      <xdr:rowOff>85725</xdr:rowOff>
    </xdr:from>
    <xdr:to>
      <xdr:col>8</xdr:col>
      <xdr:colOff>828675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058025" y="1095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7</xdr:row>
      <xdr:rowOff>85725</xdr:rowOff>
    </xdr:from>
    <xdr:to>
      <xdr:col>8</xdr:col>
      <xdr:colOff>828675</xdr:colOff>
      <xdr:row>7</xdr:row>
      <xdr:rowOff>85725</xdr:rowOff>
    </xdr:to>
    <xdr:sp>
      <xdr:nvSpPr>
        <xdr:cNvPr id="2" name="Line 6"/>
        <xdr:cNvSpPr>
          <a:spLocks/>
        </xdr:cNvSpPr>
      </xdr:nvSpPr>
      <xdr:spPr>
        <a:xfrm flipH="1">
          <a:off x="7058025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8</xdr:row>
      <xdr:rowOff>76200</xdr:rowOff>
    </xdr:from>
    <xdr:to>
      <xdr:col>8</xdr:col>
      <xdr:colOff>828675</xdr:colOff>
      <xdr:row>8</xdr:row>
      <xdr:rowOff>76200</xdr:rowOff>
    </xdr:to>
    <xdr:sp>
      <xdr:nvSpPr>
        <xdr:cNvPr id="3" name="Line 7"/>
        <xdr:cNvSpPr>
          <a:spLocks/>
        </xdr:cNvSpPr>
      </xdr:nvSpPr>
      <xdr:spPr>
        <a:xfrm flipH="1">
          <a:off x="7058025" y="1428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9</xdr:row>
      <xdr:rowOff>66675</xdr:rowOff>
    </xdr:from>
    <xdr:to>
      <xdr:col>8</xdr:col>
      <xdr:colOff>828675</xdr:colOff>
      <xdr:row>9</xdr:row>
      <xdr:rowOff>66675</xdr:rowOff>
    </xdr:to>
    <xdr:sp>
      <xdr:nvSpPr>
        <xdr:cNvPr id="4" name="Line 8"/>
        <xdr:cNvSpPr>
          <a:spLocks/>
        </xdr:cNvSpPr>
      </xdr:nvSpPr>
      <xdr:spPr>
        <a:xfrm flipH="1">
          <a:off x="7058025" y="1581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85725</xdr:rowOff>
    </xdr:from>
    <xdr:to>
      <xdr:col>7</xdr:col>
      <xdr:colOff>866775</xdr:colOff>
      <xdr:row>18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6124575" y="3057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95250</xdr:rowOff>
    </xdr:from>
    <xdr:to>
      <xdr:col>7</xdr:col>
      <xdr:colOff>866775</xdr:colOff>
      <xdr:row>19</xdr:row>
      <xdr:rowOff>95250</xdr:rowOff>
    </xdr:to>
    <xdr:sp>
      <xdr:nvSpPr>
        <xdr:cNvPr id="6" name="Line 10"/>
        <xdr:cNvSpPr>
          <a:spLocks/>
        </xdr:cNvSpPr>
      </xdr:nvSpPr>
      <xdr:spPr>
        <a:xfrm flipH="1">
          <a:off x="6124575" y="3228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95250</xdr:rowOff>
    </xdr:from>
    <xdr:to>
      <xdr:col>7</xdr:col>
      <xdr:colOff>866775</xdr:colOff>
      <xdr:row>20</xdr:row>
      <xdr:rowOff>95250</xdr:rowOff>
    </xdr:to>
    <xdr:sp>
      <xdr:nvSpPr>
        <xdr:cNvPr id="7" name="Line 11"/>
        <xdr:cNvSpPr>
          <a:spLocks/>
        </xdr:cNvSpPr>
      </xdr:nvSpPr>
      <xdr:spPr>
        <a:xfrm flipH="1">
          <a:off x="6124575" y="3390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85725</xdr:rowOff>
    </xdr:from>
    <xdr:to>
      <xdr:col>7</xdr:col>
      <xdr:colOff>866775</xdr:colOff>
      <xdr:row>21</xdr:row>
      <xdr:rowOff>85725</xdr:rowOff>
    </xdr:to>
    <xdr:sp>
      <xdr:nvSpPr>
        <xdr:cNvPr id="8" name="Line 12"/>
        <xdr:cNvSpPr>
          <a:spLocks/>
        </xdr:cNvSpPr>
      </xdr:nvSpPr>
      <xdr:spPr>
        <a:xfrm flipH="1">
          <a:off x="6124575" y="35433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85725</xdr:rowOff>
    </xdr:from>
    <xdr:to>
      <xdr:col>9</xdr:col>
      <xdr:colOff>9525</xdr:colOff>
      <xdr:row>11</xdr:row>
      <xdr:rowOff>85725</xdr:rowOff>
    </xdr:to>
    <xdr:sp>
      <xdr:nvSpPr>
        <xdr:cNvPr id="9" name="Line 13"/>
        <xdr:cNvSpPr>
          <a:spLocks/>
        </xdr:cNvSpPr>
      </xdr:nvSpPr>
      <xdr:spPr>
        <a:xfrm flipH="1">
          <a:off x="7086600" y="1924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85725</xdr:rowOff>
    </xdr:from>
    <xdr:to>
      <xdr:col>9</xdr:col>
      <xdr:colOff>9525</xdr:colOff>
      <xdr:row>12</xdr:row>
      <xdr:rowOff>85725</xdr:rowOff>
    </xdr:to>
    <xdr:sp>
      <xdr:nvSpPr>
        <xdr:cNvPr id="10" name="Line 14"/>
        <xdr:cNvSpPr>
          <a:spLocks/>
        </xdr:cNvSpPr>
      </xdr:nvSpPr>
      <xdr:spPr>
        <a:xfrm flipH="1">
          <a:off x="7086600" y="2095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76200</xdr:rowOff>
    </xdr:from>
    <xdr:to>
      <xdr:col>9</xdr:col>
      <xdr:colOff>9525</xdr:colOff>
      <xdr:row>13</xdr:row>
      <xdr:rowOff>76200</xdr:rowOff>
    </xdr:to>
    <xdr:sp>
      <xdr:nvSpPr>
        <xdr:cNvPr id="11" name="Line 15"/>
        <xdr:cNvSpPr>
          <a:spLocks/>
        </xdr:cNvSpPr>
      </xdr:nvSpPr>
      <xdr:spPr>
        <a:xfrm flipH="1">
          <a:off x="7086600" y="2257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66675</xdr:rowOff>
    </xdr:from>
    <xdr:to>
      <xdr:col>9</xdr:col>
      <xdr:colOff>9525</xdr:colOff>
      <xdr:row>14</xdr:row>
      <xdr:rowOff>66675</xdr:rowOff>
    </xdr:to>
    <xdr:sp>
      <xdr:nvSpPr>
        <xdr:cNvPr id="12" name="Line 16"/>
        <xdr:cNvSpPr>
          <a:spLocks/>
        </xdr:cNvSpPr>
      </xdr:nvSpPr>
      <xdr:spPr>
        <a:xfrm flipH="1">
          <a:off x="7086600" y="2409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queue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ran_var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invento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Queue_Mod"/>
      <sheetName val="Queue_Sim_Mod"/>
      <sheetName val="Control_Mod"/>
    </sheetNames>
    <definedNames>
      <definedName name="Q_Eff"/>
      <definedName name="Q_FNEXT"/>
      <definedName name="Q_L"/>
      <definedName name="Q_LamB"/>
      <definedName name="Q_Lq"/>
      <definedName name="Q_Ls"/>
      <definedName name="Q_P0"/>
      <definedName name="Q_PB"/>
      <definedName name="Q_PF"/>
      <definedName name="Q_PTq"/>
      <definedName name="Q_type"/>
      <definedName name="Q_W"/>
      <definedName name="Q_Wq"/>
      <definedName name="Q_W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st_Mod"/>
      <sheetName val="Show_Mod"/>
      <sheetName val="Moments_Mod"/>
      <sheetName val="Sim_Mod"/>
      <sheetName val="Inv_Mod"/>
      <sheetName val="Control_Mod"/>
    </sheetNames>
    <definedNames>
      <definedName name="RV_KURT"/>
      <definedName name="RV_MEAN"/>
      <definedName name="RV_SKEW"/>
      <definedName name="RV_VA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Inv_CycleTime"/>
      <definedName name="Inv_EOQ"/>
      <definedName name="Inv_InvCost"/>
      <definedName name="Inv_Level"/>
      <definedName name="Inv_Max"/>
      <definedName name="Inv_Reorder"/>
      <definedName name="Inv_ResTime"/>
      <definedName name="Inv_TotProfi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X34"/>
  <sheetViews>
    <sheetView tabSelected="1" workbookViewId="0" topLeftCell="A1">
      <selection activeCell="B32" sqref="B32"/>
    </sheetView>
  </sheetViews>
  <sheetFormatPr defaultColWidth="11.00390625" defaultRowHeight="12"/>
  <cols>
    <col min="4" max="4" width="12.00390625" style="0" bestFit="1" customWidth="1"/>
    <col min="7" max="7" width="17.125" style="0" customWidth="1"/>
    <col min="10" max="10" width="15.625" style="0" customWidth="1"/>
    <col min="11" max="22" width="5.875" style="0" customWidth="1"/>
    <col min="23" max="23" width="21.875" style="0" customWidth="1"/>
  </cols>
  <sheetData>
    <row r="2" spans="3:24" ht="12.75">
      <c r="C2" t="s">
        <v>53</v>
      </c>
      <c r="D2">
        <v>10</v>
      </c>
      <c r="W2" t="s">
        <v>70</v>
      </c>
      <c r="X2">
        <f>PAJ_MAD(X4:X13)</f>
        <v>6.622808933258057</v>
      </c>
    </row>
    <row r="3" spans="3:11" ht="12.75">
      <c r="C3" t="s">
        <v>54</v>
      </c>
      <c r="D3">
        <v>5</v>
      </c>
      <c r="G3" s="1" t="s">
        <v>58</v>
      </c>
      <c r="H3">
        <f>AVERAGE($G$9:$G$18)</f>
        <v>62.9</v>
      </c>
      <c r="J3" s="1" t="s">
        <v>58</v>
      </c>
      <c r="K3">
        <f>AVERAGE($L$8:$U$8)</f>
        <v>5.5</v>
      </c>
    </row>
    <row r="4" spans="7:24" ht="12.75">
      <c r="G4" s="1" t="s">
        <v>59</v>
      </c>
      <c r="H4">
        <f>PAJ_AVERAGE($G$9:$G$18,10)</f>
        <v>62.900001525878906</v>
      </c>
      <c r="J4" s="1" t="s">
        <v>59</v>
      </c>
      <c r="K4">
        <f>PAJ_AVERAGE($L$8:$U$8,10)</f>
        <v>5.5</v>
      </c>
      <c r="X4" s="4" t="s">
        <v>56</v>
      </c>
    </row>
    <row r="5" spans="2:24" ht="12.75">
      <c r="B5" t="s">
        <v>52</v>
      </c>
      <c r="D5" t="s">
        <v>55</v>
      </c>
      <c r="G5" s="1" t="s">
        <v>60</v>
      </c>
      <c r="H5">
        <f>PAJ_AVERAGE($G$9:$G$18,5)</f>
        <v>67.19999694824219</v>
      </c>
      <c r="J5" s="1" t="s">
        <v>60</v>
      </c>
      <c r="K5">
        <f>PAJ_AVERAGE($L$8:$U$8,5)</f>
        <v>8</v>
      </c>
      <c r="X5" s="4">
        <v>-5.145457744598389</v>
      </c>
    </row>
    <row r="6" spans="2:24" ht="12.75">
      <c r="B6">
        <v>-102</v>
      </c>
      <c r="G6" s="1" t="s">
        <v>61</v>
      </c>
      <c r="H6">
        <v>6</v>
      </c>
      <c r="J6" s="1" t="s">
        <v>61</v>
      </c>
      <c r="K6">
        <v>6</v>
      </c>
      <c r="X6" s="4">
        <v>2</v>
      </c>
    </row>
    <row r="7" spans="2:24" ht="12.75">
      <c r="B7">
        <f>PAJ_RAND(B6)</f>
        <v>0.3013380169868469</v>
      </c>
      <c r="D7">
        <f>PAJ_SimNORM(B7,$D$2,$D$3)</f>
        <v>7.3972197169886345</v>
      </c>
      <c r="G7" s="1" t="s">
        <v>62</v>
      </c>
      <c r="H7">
        <f>PAJ_AVERAGE($G$9:$G$18,H6)</f>
        <v>65.16666412353516</v>
      </c>
      <c r="J7" s="1" t="s">
        <v>62</v>
      </c>
      <c r="K7">
        <f>PAJ_AVERAGE($L$8:$U$8,K6)</f>
        <v>7.5</v>
      </c>
      <c r="X7" s="4">
        <v>3</v>
      </c>
    </row>
    <row r="8" spans="2:24" ht="12.75">
      <c r="B8">
        <f aca="true" t="shared" si="0" ref="B8:B17">PAJ_RAND(B7)</f>
        <v>0.08748316764831543</v>
      </c>
      <c r="D8">
        <f aca="true" t="shared" si="1" ref="D8:D17">PAJ_SimNORM(B8,$D$2,$D$3)</f>
        <v>3.2179101125379876</v>
      </c>
      <c r="G8" s="1" t="s">
        <v>63</v>
      </c>
      <c r="K8" t="s">
        <v>63</v>
      </c>
      <c r="L8">
        <v>1</v>
      </c>
      <c r="M8">
        <v>2</v>
      </c>
      <c r="N8">
        <v>3</v>
      </c>
      <c r="O8">
        <v>4</v>
      </c>
      <c r="P8">
        <v>5</v>
      </c>
      <c r="Q8">
        <v>6</v>
      </c>
      <c r="R8">
        <v>7</v>
      </c>
      <c r="S8">
        <v>8</v>
      </c>
      <c r="T8">
        <v>9</v>
      </c>
      <c r="U8">
        <v>10</v>
      </c>
      <c r="X8" s="4">
        <v>-16</v>
      </c>
    </row>
    <row r="9" spans="2:24" ht="12.75">
      <c r="B9">
        <f t="shared" si="0"/>
        <v>0.5180491805076599</v>
      </c>
      <c r="D9">
        <f t="shared" si="1"/>
        <v>10.226289339206083</v>
      </c>
      <c r="G9" s="2">
        <v>55</v>
      </c>
      <c r="X9" s="4">
        <v>-4.738905706501342</v>
      </c>
    </row>
    <row r="10" spans="2:24" ht="12.75">
      <c r="B10">
        <f t="shared" si="0"/>
        <v>0.7968467473983765</v>
      </c>
      <c r="D10">
        <f t="shared" si="1"/>
        <v>14.152053490068079</v>
      </c>
      <c r="G10" s="3">
        <v>63</v>
      </c>
      <c r="X10" s="4">
        <v>-6.434837452870568</v>
      </c>
    </row>
    <row r="11" spans="2:24" ht="12.75">
      <c r="B11">
        <f t="shared" si="0"/>
        <v>0.4364672303199768</v>
      </c>
      <c r="D11">
        <f t="shared" si="1"/>
        <v>9.200338990748353</v>
      </c>
      <c r="G11" s="3">
        <v>68</v>
      </c>
      <c r="X11" s="4">
        <v>5.673172331124903</v>
      </c>
    </row>
    <row r="12" spans="2:24" ht="12.75">
      <c r="B12">
        <f t="shared" si="0"/>
        <v>0.5270662307739258</v>
      </c>
      <c r="D12">
        <f t="shared" si="1"/>
        <v>10.339484675059184</v>
      </c>
      <c r="G12" s="3">
        <v>52</v>
      </c>
      <c r="X12" s="4">
        <v>-7.8363505795014134</v>
      </c>
    </row>
    <row r="13" spans="2:24" ht="12.75">
      <c r="B13">
        <f t="shared" si="0"/>
        <v>0.9143878817558289</v>
      </c>
      <c r="D13">
        <f t="shared" si="1"/>
        <v>16.841405232008267</v>
      </c>
      <c r="G13" s="3">
        <v>55</v>
      </c>
      <c r="X13" s="4">
        <v>-8.776557717295546</v>
      </c>
    </row>
    <row r="14" spans="2:7" ht="12.75">
      <c r="B14">
        <f t="shared" si="0"/>
        <v>0.7125669717788696</v>
      </c>
      <c r="D14">
        <f t="shared" si="1"/>
        <v>12.80449691908263</v>
      </c>
      <c r="G14" s="3">
        <v>66</v>
      </c>
    </row>
    <row r="15" spans="2:7" ht="12.75">
      <c r="B15">
        <f t="shared" si="0"/>
        <v>0.6250975728034973</v>
      </c>
      <c r="D15">
        <f t="shared" si="1"/>
        <v>11.594484309311644</v>
      </c>
      <c r="G15" s="3">
        <v>64</v>
      </c>
    </row>
    <row r="16" spans="2:24" ht="12.75">
      <c r="B16">
        <f t="shared" si="0"/>
        <v>0.40380215644836426</v>
      </c>
      <c r="D16">
        <f t="shared" si="1"/>
        <v>8.782410466128615</v>
      </c>
      <c r="G16" s="3">
        <v>77</v>
      </c>
      <c r="W16" t="s">
        <v>71</v>
      </c>
      <c r="X16" t="e">
        <f>PAJ_findname("Paul")</f>
        <v>#VALUE!</v>
      </c>
    </row>
    <row r="17" spans="2:7" ht="12.75">
      <c r="B17">
        <f t="shared" si="0"/>
        <v>0.20629924535751343</v>
      </c>
      <c r="D17">
        <f t="shared" si="1"/>
        <v>5.903353943443822</v>
      </c>
      <c r="G17" s="3">
        <v>64</v>
      </c>
    </row>
    <row r="18" ht="12.75">
      <c r="G18" s="3">
        <v>65</v>
      </c>
    </row>
    <row r="19" spans="8:9" ht="12.75">
      <c r="H19" t="s">
        <v>64</v>
      </c>
      <c r="I19" t="s">
        <v>65</v>
      </c>
    </row>
    <row r="20" spans="7:9" ht="12.75">
      <c r="G20" t="s">
        <v>66</v>
      </c>
      <c r="H20">
        <f>PAJ_REG_A($G$9:$G$18,10)</f>
        <v>68.0545425415039</v>
      </c>
      <c r="I20">
        <f>PAJ_REG_B($G$9:$G$18,10)</f>
        <v>1.1454545259475708</v>
      </c>
    </row>
    <row r="21" spans="7:9" ht="12.75">
      <c r="G21" t="s">
        <v>67</v>
      </c>
      <c r="H21">
        <f>PAJ_REG_A($G$9:$G$18,5)</f>
        <v>66.80000305175781</v>
      </c>
      <c r="I21">
        <f>PAJ_REG_B($G$9:$G$18,5)</f>
        <v>-0.20000000298023224</v>
      </c>
    </row>
    <row r="22" spans="7:10" ht="12.75">
      <c r="G22" t="s">
        <v>57</v>
      </c>
      <c r="H22">
        <v>10</v>
      </c>
      <c r="J22" t="s">
        <v>69</v>
      </c>
    </row>
    <row r="23" spans="7:10" ht="12.75">
      <c r="G23" t="s">
        <v>68</v>
      </c>
      <c r="H23">
        <f>PAJ_REG_A($G$9:$G$18,H22)</f>
        <v>68.0545425415039</v>
      </c>
      <c r="I23">
        <f>PAJ_REG_B($G$9:$G$18,H22)</f>
        <v>1.1454545259475708</v>
      </c>
      <c r="J23" t="str">
        <f>PAJ_LINEAR($H$20,$I$20,I23)</f>
        <v>***</v>
      </c>
    </row>
    <row r="24" spans="7:10" ht="12.75">
      <c r="G24">
        <v>1</v>
      </c>
      <c r="J24">
        <f>PAJ_LINEAR($H$23:H24,$I$23:I24,G24)</f>
        <v>69.19999706745148</v>
      </c>
    </row>
    <row r="25" spans="7:10" ht="12.75">
      <c r="G25">
        <v>2</v>
      </c>
      <c r="J25">
        <f>PAJ_LINEAR($H$23:H25,$I$23:I25,G25)</f>
        <v>70.34545159339905</v>
      </c>
    </row>
    <row r="26" spans="7:10" ht="12.75">
      <c r="G26">
        <v>3</v>
      </c>
      <c r="J26">
        <f>PAJ_LINEAR($H$23:H26,$I$23:I26,G26)</f>
        <v>71.49090611934662</v>
      </c>
    </row>
    <row r="27" spans="7:10" ht="12.75">
      <c r="G27">
        <v>4</v>
      </c>
      <c r="J27">
        <f>PAJ_LINEAR($H$23:H27,$I$23:I27,G27)</f>
        <v>72.63636064529419</v>
      </c>
    </row>
    <row r="28" spans="7:10" ht="12.75">
      <c r="G28">
        <v>5</v>
      </c>
      <c r="J28">
        <f>PAJ_LINEAR($H$23:H28,$I$23:I28,G28)</f>
        <v>73.78181517124176</v>
      </c>
    </row>
    <row r="29" spans="7:10" ht="12.75">
      <c r="G29">
        <v>6</v>
      </c>
      <c r="J29">
        <f>PAJ_LINEAR($H$23:H29,$I$23:I29,G29)</f>
        <v>74.92726969718933</v>
      </c>
    </row>
    <row r="30" spans="7:10" ht="12.75">
      <c r="G30">
        <v>7</v>
      </c>
      <c r="J30">
        <f>PAJ_LINEAR($H$23:H30,$I$23:I30,G30)</f>
        <v>76.0727242231369</v>
      </c>
    </row>
    <row r="32" spans="7:20" ht="12.75">
      <c r="G32" t="s">
        <v>66</v>
      </c>
      <c r="H32">
        <f>PAJ_REG_A($K$32:$T$32,10)</f>
        <v>68.0545425415039</v>
      </c>
      <c r="I32">
        <f>PAJ_REG_B($K$32:$T$32,10)</f>
        <v>1.1454545259475708</v>
      </c>
      <c r="K32">
        <v>55</v>
      </c>
      <c r="L32">
        <v>63</v>
      </c>
      <c r="M32">
        <v>68</v>
      </c>
      <c r="N32">
        <v>52</v>
      </c>
      <c r="O32">
        <v>55</v>
      </c>
      <c r="P32">
        <v>66</v>
      </c>
      <c r="Q32">
        <v>64</v>
      </c>
      <c r="R32">
        <v>77</v>
      </c>
      <c r="S32">
        <v>64</v>
      </c>
      <c r="T32">
        <v>65</v>
      </c>
    </row>
    <row r="33" spans="7:9" ht="12.75">
      <c r="G33" t="s">
        <v>67</v>
      </c>
      <c r="H33">
        <f>PAJ_REG_A($G$9:$G$18,5)</f>
        <v>66.80000305175781</v>
      </c>
      <c r="I33">
        <f>PAJ_REG_B($G$9:$G$18,5)</f>
        <v>-0.20000000298023224</v>
      </c>
    </row>
    <row r="34" spans="7:8" ht="12.75">
      <c r="G34" t="s">
        <v>57</v>
      </c>
      <c r="H34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C6"/>
  <sheetViews>
    <sheetView workbookViewId="0" topLeftCell="A1">
      <selection activeCell="F36" sqref="F36"/>
    </sheetView>
  </sheetViews>
  <sheetFormatPr defaultColWidth="11.00390625" defaultRowHeight="12"/>
  <sheetData>
    <row r="3" ht="12">
      <c r="C3" s="5" t="s">
        <v>72</v>
      </c>
    </row>
    <row r="6" ht="12">
      <c r="C6" s="5" t="s">
        <v>73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C2:R32"/>
  <sheetViews>
    <sheetView workbookViewId="0" topLeftCell="I1">
      <selection activeCell="R28" sqref="R28"/>
    </sheetView>
  </sheetViews>
  <sheetFormatPr defaultColWidth="11.00390625" defaultRowHeight="12"/>
  <cols>
    <col min="3" max="3" width="22.00390625" style="0" customWidth="1"/>
    <col min="6" max="6" width="20.125" style="0" customWidth="1"/>
    <col min="11" max="13" width="14.00390625" style="0" customWidth="1"/>
    <col min="17" max="17" width="6.125" style="0" customWidth="1"/>
  </cols>
  <sheetData>
    <row r="2" spans="3:16" ht="12.75">
      <c r="C2" s="1" t="s">
        <v>74</v>
      </c>
      <c r="D2" s="7">
        <v>5</v>
      </c>
      <c r="F2" s="1" t="s">
        <v>74</v>
      </c>
      <c r="G2" s="1" t="s">
        <v>100</v>
      </c>
      <c r="H2" s="1" t="s">
        <v>101</v>
      </c>
      <c r="K2" s="1" t="s">
        <v>74</v>
      </c>
      <c r="L2" s="1" t="s">
        <v>100</v>
      </c>
      <c r="M2" s="1" t="s">
        <v>101</v>
      </c>
      <c r="N2" s="1" t="s">
        <v>102</v>
      </c>
      <c r="O2" s="1" t="s">
        <v>103</v>
      </c>
      <c r="P2" s="20" t="s">
        <v>126</v>
      </c>
    </row>
    <row r="3" spans="3:18" ht="12.75">
      <c r="C3" s="1" t="s">
        <v>100</v>
      </c>
      <c r="D3" s="7">
        <v>2</v>
      </c>
      <c r="F3" s="11">
        <v>5</v>
      </c>
      <c r="G3" s="11">
        <v>2</v>
      </c>
      <c r="H3" s="11">
        <v>3</v>
      </c>
      <c r="K3">
        <v>10</v>
      </c>
      <c r="L3">
        <v>11</v>
      </c>
      <c r="M3">
        <v>1</v>
      </c>
      <c r="N3" t="s">
        <v>56</v>
      </c>
      <c r="O3" t="s">
        <v>56</v>
      </c>
      <c r="P3">
        <f>[1]!Q_Lq(K3:O3)</f>
        <v>9.09091214564807</v>
      </c>
      <c r="R3" t="s">
        <v>120</v>
      </c>
    </row>
    <row r="4" spans="3:18" ht="12.75">
      <c r="C4" s="1" t="s">
        <v>101</v>
      </c>
      <c r="D4" s="7">
        <v>3</v>
      </c>
      <c r="K4">
        <v>10</v>
      </c>
      <c r="L4">
        <v>11</v>
      </c>
      <c r="M4">
        <v>1</v>
      </c>
      <c r="N4">
        <v>5</v>
      </c>
      <c r="O4" t="s">
        <v>56</v>
      </c>
      <c r="P4">
        <f>[1]!Q_Lq(K4:O4)</f>
        <v>1.4322911549187176</v>
      </c>
      <c r="R4" t="s">
        <v>121</v>
      </c>
    </row>
    <row r="5" spans="11:18" ht="12.75">
      <c r="K5">
        <v>10</v>
      </c>
      <c r="L5">
        <v>11</v>
      </c>
      <c r="M5">
        <v>1</v>
      </c>
      <c r="N5">
        <v>5</v>
      </c>
      <c r="O5">
        <v>10</v>
      </c>
      <c r="P5">
        <f>[1]!Q_Lq(K5:O5)</f>
        <v>3.790418863296509</v>
      </c>
      <c r="R5" t="s">
        <v>122</v>
      </c>
    </row>
    <row r="8" spans="3:13" ht="12.75">
      <c r="C8" s="1" t="s">
        <v>75</v>
      </c>
      <c r="D8" s="8" t="str">
        <f>[1]!Q_type($D$2:$D$4)</f>
        <v>M/M/3</v>
      </c>
      <c r="F8" s="1" t="s">
        <v>75</v>
      </c>
      <c r="G8" s="8" t="str">
        <f>[1]!Q_type(F3:H3)</f>
        <v>M/M/3</v>
      </c>
      <c r="J8" s="18" t="s">
        <v>74</v>
      </c>
      <c r="K8">
        <v>10</v>
      </c>
      <c r="L8">
        <v>10</v>
      </c>
      <c r="M8">
        <v>10</v>
      </c>
    </row>
    <row r="9" spans="3:13" ht="12.75">
      <c r="C9" s="1" t="s">
        <v>76</v>
      </c>
      <c r="D9" s="9">
        <f>[1]!Q_L(D2:D4)</f>
        <v>6.011235237121582</v>
      </c>
      <c r="F9" s="1" t="s">
        <v>76</v>
      </c>
      <c r="G9" s="9">
        <f>[1]!Q_L(F3:H3)</f>
        <v>6.011235237121582</v>
      </c>
      <c r="J9" s="18" t="s">
        <v>100</v>
      </c>
      <c r="K9">
        <v>11</v>
      </c>
      <c r="L9">
        <v>11</v>
      </c>
      <c r="M9">
        <v>11</v>
      </c>
    </row>
    <row r="10" spans="3:13" ht="12.75">
      <c r="C10" s="1" t="s">
        <v>77</v>
      </c>
      <c r="D10" s="9">
        <f>[1]!Q_W(D2:D4)</f>
        <v>1.2022470235824585</v>
      </c>
      <c r="F10" s="1" t="s">
        <v>77</v>
      </c>
      <c r="G10" s="9">
        <f>[1]!Q_W(F3:H3)</f>
        <v>1.2022470235824585</v>
      </c>
      <c r="J10" s="18" t="s">
        <v>101</v>
      </c>
      <c r="K10">
        <v>1</v>
      </c>
      <c r="L10">
        <v>1</v>
      </c>
      <c r="M10">
        <v>1</v>
      </c>
    </row>
    <row r="11" spans="3:13" ht="12.75">
      <c r="C11" s="1" t="s">
        <v>78</v>
      </c>
      <c r="D11" s="9">
        <f>[1]!Q_Lq(D2:D4)</f>
        <v>3.511235091123843</v>
      </c>
      <c r="F11" s="1" t="s">
        <v>78</v>
      </c>
      <c r="G11" s="9">
        <f>[1]!Q_Lq(F3:H3)</f>
        <v>3.511235091123843</v>
      </c>
      <c r="J11" s="18" t="s">
        <v>102</v>
      </c>
      <c r="K11" t="s">
        <v>56</v>
      </c>
      <c r="L11">
        <v>5</v>
      </c>
      <c r="M11">
        <v>5</v>
      </c>
    </row>
    <row r="12" spans="3:13" ht="12.75">
      <c r="C12" s="1" t="s">
        <v>79</v>
      </c>
      <c r="D12" s="9">
        <f>[1]!Q_Wq(D2:D4)</f>
        <v>0.7022470182247685</v>
      </c>
      <c r="F12" s="1" t="s">
        <v>79</v>
      </c>
      <c r="G12" s="9">
        <f>[1]!Q_Wq(F3:H3)</f>
        <v>0.7022470182247685</v>
      </c>
      <c r="J12" s="18" t="s">
        <v>103</v>
      </c>
      <c r="K12" t="s">
        <v>56</v>
      </c>
      <c r="L12" t="s">
        <v>56</v>
      </c>
      <c r="M12">
        <v>10</v>
      </c>
    </row>
    <row r="13" spans="3:13" ht="12.75">
      <c r="C13" s="1" t="s">
        <v>80</v>
      </c>
      <c r="D13" s="9">
        <f>[1]!Q_Ls(D2:D4)</f>
        <v>2.5</v>
      </c>
      <c r="F13" s="1" t="s">
        <v>80</v>
      </c>
      <c r="G13" s="9">
        <f>[1]!Q_Ls(F3:H3)</f>
        <v>2.5</v>
      </c>
      <c r="J13" s="18" t="s">
        <v>104</v>
      </c>
      <c r="K13">
        <f>[1]!Q_Lq(K8:K12)</f>
        <v>9.09091214564807</v>
      </c>
      <c r="L13">
        <f>[1]!Q_Lq(L8:L12)</f>
        <v>1.4322911549187176</v>
      </c>
      <c r="M13">
        <f>[1]!Q_Lq(M8:M12)</f>
        <v>3.790418863296509</v>
      </c>
    </row>
    <row r="14" spans="3:7" ht="19.5" customHeight="1">
      <c r="C14" s="1" t="s">
        <v>81</v>
      </c>
      <c r="D14" s="9">
        <f>[1]!Q_Ws(D2:D4)</f>
        <v>0.5</v>
      </c>
      <c r="F14" s="1" t="s">
        <v>81</v>
      </c>
      <c r="G14" s="9">
        <f>[1]!Q_Ws(F3:H3)</f>
        <v>0.5</v>
      </c>
    </row>
    <row r="15" spans="3:13" ht="12.75">
      <c r="C15" s="1" t="s">
        <v>82</v>
      </c>
      <c r="D15" s="9">
        <f>[1]!Q_LamB(D2:D4)</f>
        <v>5</v>
      </c>
      <c r="F15" s="1" t="s">
        <v>82</v>
      </c>
      <c r="G15" s="9">
        <f>[1]!Q_LamB(F3:H3)</f>
        <v>5</v>
      </c>
      <c r="K15" s="1" t="s">
        <v>123</v>
      </c>
      <c r="L15" s="1" t="s">
        <v>124</v>
      </c>
      <c r="M15" s="1" t="s">
        <v>125</v>
      </c>
    </row>
    <row r="16" spans="3:7" ht="12.75">
      <c r="C16" s="1" t="s">
        <v>83</v>
      </c>
      <c r="D16" s="9">
        <f>[1]!Q_Eff(D2:D4)</f>
        <v>0.8333333134651184</v>
      </c>
      <c r="F16" s="1" t="s">
        <v>83</v>
      </c>
      <c r="G16" s="9">
        <f>[1]!Q_Eff(F3:H3)</f>
        <v>0.8333333134651184</v>
      </c>
    </row>
    <row r="17" spans="3:7" ht="12.75">
      <c r="C17" s="1" t="s">
        <v>84</v>
      </c>
      <c r="D17" s="9">
        <f>[1]!Q_P0(D2:D4)</f>
        <v>0.04494382441043854</v>
      </c>
      <c r="F17" s="1" t="s">
        <v>84</v>
      </c>
      <c r="G17" s="9">
        <f>[1]!Q_P0(F3:H3)</f>
        <v>0.04494382441043854</v>
      </c>
    </row>
    <row r="18" spans="3:7" ht="12.75">
      <c r="C18" s="1" t="s">
        <v>85</v>
      </c>
      <c r="D18" s="9">
        <f>[1]!Q_PB(D2:D4)</f>
        <v>0.702247142791748</v>
      </c>
      <c r="F18" s="1" t="s">
        <v>85</v>
      </c>
      <c r="G18" s="9">
        <f>[1]!Q_PB(F3:H3)</f>
        <v>0.702247142791748</v>
      </c>
    </row>
    <row r="19" spans="3:7" ht="12.75">
      <c r="C19" s="1" t="s">
        <v>86</v>
      </c>
      <c r="D19" s="9">
        <f>[1]!Q_PF(D2:D4)</f>
        <v>0</v>
      </c>
      <c r="F19" s="1" t="s">
        <v>86</v>
      </c>
      <c r="G19" s="9">
        <f>[1]!Q_PF(F3:H3)</f>
        <v>0</v>
      </c>
    </row>
    <row r="20" spans="3:7" ht="12.75">
      <c r="C20" s="1" t="s">
        <v>87</v>
      </c>
      <c r="D20" s="9">
        <v>0.5</v>
      </c>
      <c r="F20" s="1" t="s">
        <v>87</v>
      </c>
      <c r="G20" s="9">
        <v>0.5</v>
      </c>
    </row>
    <row r="21" spans="3:7" ht="12.75">
      <c r="C21" s="1" t="s">
        <v>88</v>
      </c>
      <c r="D21" s="9">
        <f>[1]!Q_PTq(D20,D2:D4)</f>
        <v>0.4259343974111216</v>
      </c>
      <c r="F21" s="1" t="s">
        <v>88</v>
      </c>
      <c r="G21" s="9">
        <f>[1]!Q_PTq(G20,F3:H3)</f>
        <v>0.4259343974111216</v>
      </c>
    </row>
    <row r="22" spans="3:7" ht="12.75">
      <c r="C22" s="1" t="s">
        <v>89</v>
      </c>
      <c r="D22" s="9">
        <f>[1]!Q_P0(D2:D4)</f>
        <v>0.04494382441043854</v>
      </c>
      <c r="F22" s="1" t="s">
        <v>89</v>
      </c>
      <c r="G22" s="9">
        <f>[1]!Q_P0(F3:H3)</f>
        <v>0.04494382441043854</v>
      </c>
    </row>
    <row r="23" spans="3:7" ht="12.75">
      <c r="C23" s="1" t="s">
        <v>90</v>
      </c>
      <c r="D23" s="9">
        <f>[1]!Q_FNEXT(1,D2:D4)*D22</f>
        <v>0.11235956102609634</v>
      </c>
      <c r="F23" s="1" t="s">
        <v>90</v>
      </c>
      <c r="G23" s="9">
        <f>[1]!Q_FNEXT(1,F3:H3)*G22</f>
        <v>0.11235956102609634</v>
      </c>
    </row>
    <row r="24" spans="3:7" ht="12.75">
      <c r="C24" s="1" t="s">
        <v>91</v>
      </c>
      <c r="D24" s="9">
        <f>[1]!Q_FNEXT(2,D2:D4)*D23</f>
        <v>0.14044945128262043</v>
      </c>
      <c r="F24" s="1" t="s">
        <v>91</v>
      </c>
      <c r="G24" s="9">
        <f>[1]!Q_FNEXT(2,F3:H3)*G23</f>
        <v>0.14044945128262043</v>
      </c>
    </row>
    <row r="25" spans="3:7" ht="12.75">
      <c r="C25" s="1" t="s">
        <v>92</v>
      </c>
      <c r="D25" s="9">
        <f>[1]!Q_FNEXT(3,D2:D4)*D24</f>
        <v>0.1170412094021837</v>
      </c>
      <c r="F25" s="1" t="s">
        <v>92</v>
      </c>
      <c r="G25" s="9">
        <f>[1]!Q_FNEXT(3,F3:H3)*G24</f>
        <v>0.1170412094021837</v>
      </c>
    </row>
    <row r="26" spans="3:7" ht="12.75">
      <c r="C26" s="1" t="s">
        <v>93</v>
      </c>
      <c r="D26" s="9">
        <f>[1]!Q_FNEXT(4,D2:D4)*D25</f>
        <v>0.09753433884308652</v>
      </c>
      <c r="F26" s="1" t="s">
        <v>93</v>
      </c>
      <c r="G26" s="9">
        <f>[1]!Q_FNEXT(4,F3:H3)*G25</f>
        <v>0.09753433884308652</v>
      </c>
    </row>
    <row r="27" spans="3:7" ht="12.75">
      <c r="C27" s="1" t="s">
        <v>94</v>
      </c>
      <c r="D27" s="9">
        <f>[1]!Q_FNEXT(5,D2:D4)*D26</f>
        <v>0.08127861376473888</v>
      </c>
      <c r="F27" s="1" t="s">
        <v>94</v>
      </c>
      <c r="G27" s="9">
        <f>[1]!Q_FNEXT(5,F3:H3)*G26</f>
        <v>0.08127861376473888</v>
      </c>
    </row>
    <row r="28" spans="3:7" ht="12.75">
      <c r="C28" s="1" t="s">
        <v>95</v>
      </c>
      <c r="D28" s="9">
        <f>[1]!Q_FNEXT(6,D2:D4)*D27</f>
        <v>0.06773217652242143</v>
      </c>
      <c r="F28" s="1" t="s">
        <v>95</v>
      </c>
      <c r="G28" s="9">
        <f>[1]!Q_FNEXT(6,F3:H3)*G27</f>
        <v>0.06773217652242143</v>
      </c>
    </row>
    <row r="29" spans="3:7" ht="12.75">
      <c r="C29" s="1" t="s">
        <v>96</v>
      </c>
      <c r="D29" s="9">
        <f>[1]!Q_FNEXT(7,D2:D4)*D28</f>
        <v>0.05644347908963375</v>
      </c>
      <c r="F29" s="1" t="s">
        <v>96</v>
      </c>
      <c r="G29" s="9">
        <f>[1]!Q_FNEXT(7,F3:H3)*G28</f>
        <v>0.05644347908963375</v>
      </c>
    </row>
    <row r="30" spans="3:7" ht="12.75">
      <c r="C30" s="1" t="s">
        <v>97</v>
      </c>
      <c r="D30" s="9">
        <f>[1]!Q_FNEXT(8,D2:D4)*D29</f>
        <v>0.04703623145326362</v>
      </c>
      <c r="F30" s="1" t="s">
        <v>97</v>
      </c>
      <c r="G30" s="9">
        <f>[1]!Q_FNEXT(8,F3:H3)*G29</f>
        <v>0.04703623145326362</v>
      </c>
    </row>
    <row r="31" spans="3:7" ht="12.75">
      <c r="C31" s="1" t="s">
        <v>98</v>
      </c>
      <c r="D31" s="9">
        <f>[1]!Q_FNEXT(9,D2:D4)*D30</f>
        <v>0.03919685860986039</v>
      </c>
      <c r="F31" s="1" t="s">
        <v>98</v>
      </c>
      <c r="G31" s="9">
        <f>[1]!Q_FNEXT(9,F3:H3)*G30</f>
        <v>0.03919685860986039</v>
      </c>
    </row>
    <row r="32" spans="3:7" ht="13.5" thickBot="1">
      <c r="C32" s="1" t="s">
        <v>99</v>
      </c>
      <c r="D32" s="10">
        <f>[1]!Q_FNEXT(10,D2:D4)*D31</f>
        <v>0.032664048062778714</v>
      </c>
      <c r="F32" s="1" t="s">
        <v>99</v>
      </c>
      <c r="G32" s="10">
        <f>[1]!Q_FNEXT(10,F3:H3)*G31</f>
        <v>0.032664048062778714</v>
      </c>
    </row>
    <row r="33" ht="13.5" thickTop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G20"/>
  <sheetViews>
    <sheetView workbookViewId="0" topLeftCell="A1">
      <selection activeCell="G38" sqref="G38"/>
    </sheetView>
  </sheetViews>
  <sheetFormatPr defaultColWidth="11.00390625" defaultRowHeight="12"/>
  <sheetData>
    <row r="1" spans="2:7" ht="12.75">
      <c r="B1" t="s">
        <v>12</v>
      </c>
      <c r="C1" t="s">
        <v>13</v>
      </c>
      <c r="D1" t="s">
        <v>14</v>
      </c>
      <c r="E1" t="s">
        <v>16</v>
      </c>
      <c r="F1" t="s">
        <v>17</v>
      </c>
      <c r="G1" t="s">
        <v>15</v>
      </c>
    </row>
    <row r="2" spans="2:7" ht="12.75">
      <c r="B2">
        <v>100</v>
      </c>
      <c r="C2">
        <v>50</v>
      </c>
      <c r="D2">
        <f>PAJ_GCD(B2,C2)</f>
        <v>50</v>
      </c>
      <c r="E2">
        <f>B2/D2</f>
        <v>2</v>
      </c>
      <c r="F2">
        <f>C2/D2</f>
        <v>1</v>
      </c>
      <c r="G2">
        <f aca="true" t="shared" si="0" ref="G2:G20">PAJ_LCM(B2,C2)</f>
        <v>100</v>
      </c>
    </row>
    <row r="3" spans="2:7" ht="12.75">
      <c r="B3">
        <v>3</v>
      </c>
      <c r="C3">
        <v>4</v>
      </c>
      <c r="D3">
        <f aca="true" t="shared" si="1" ref="D3:D20">PAJ_GCD(B3,C3)</f>
        <v>1</v>
      </c>
      <c r="E3">
        <f aca="true" t="shared" si="2" ref="E3:E8">B3/D3</f>
        <v>3</v>
      </c>
      <c r="F3">
        <f aca="true" t="shared" si="3" ref="F3:F8">C3/D3</f>
        <v>4</v>
      </c>
      <c r="G3">
        <f t="shared" si="0"/>
        <v>12</v>
      </c>
    </row>
    <row r="4" spans="2:7" ht="12.75">
      <c r="B4">
        <v>3</v>
      </c>
      <c r="C4">
        <v>6</v>
      </c>
      <c r="D4">
        <f t="shared" si="1"/>
        <v>3</v>
      </c>
      <c r="E4">
        <f t="shared" si="2"/>
        <v>1</v>
      </c>
      <c r="F4">
        <f t="shared" si="3"/>
        <v>2</v>
      </c>
      <c r="G4">
        <f t="shared" si="0"/>
        <v>6</v>
      </c>
    </row>
    <row r="5" spans="2:7" ht="12.75">
      <c r="B5">
        <v>1.5</v>
      </c>
      <c r="C5">
        <v>4</v>
      </c>
      <c r="D5">
        <f t="shared" si="1"/>
        <v>0.5</v>
      </c>
      <c r="E5">
        <f t="shared" si="2"/>
        <v>3</v>
      </c>
      <c r="F5">
        <f t="shared" si="3"/>
        <v>8</v>
      </c>
      <c r="G5">
        <f t="shared" si="0"/>
        <v>12</v>
      </c>
    </row>
    <row r="6" spans="2:7" ht="12.75">
      <c r="B6">
        <v>7</v>
      </c>
      <c r="C6">
        <v>14</v>
      </c>
      <c r="D6">
        <f t="shared" si="1"/>
        <v>7</v>
      </c>
      <c r="E6">
        <f t="shared" si="2"/>
        <v>1</v>
      </c>
      <c r="F6">
        <f t="shared" si="3"/>
        <v>2</v>
      </c>
      <c r="G6">
        <f t="shared" si="0"/>
        <v>14</v>
      </c>
    </row>
    <row r="7" spans="2:7" ht="12.75">
      <c r="B7">
        <v>0.3</v>
      </c>
      <c r="C7">
        <v>0.9</v>
      </c>
      <c r="D7">
        <f t="shared" si="1"/>
        <v>0.2999999523162842</v>
      </c>
      <c r="E7">
        <f t="shared" si="2"/>
        <v>1.0000001589457446</v>
      </c>
      <c r="F7">
        <f t="shared" si="3"/>
        <v>3.000000476837234</v>
      </c>
      <c r="G7">
        <f t="shared" si="0"/>
        <v>0.9000001430511703</v>
      </c>
    </row>
    <row r="8" spans="2:7" ht="12.75">
      <c r="B8">
        <v>0.6</v>
      </c>
      <c r="C8">
        <v>0.9</v>
      </c>
      <c r="D8">
        <f t="shared" si="1"/>
        <v>0.2999999523162842</v>
      </c>
      <c r="E8">
        <f t="shared" si="2"/>
        <v>2.000000317891489</v>
      </c>
      <c r="F8">
        <f t="shared" si="3"/>
        <v>3.000000476837234</v>
      </c>
      <c r="G8">
        <f t="shared" si="0"/>
        <v>1.8000002861023405</v>
      </c>
    </row>
    <row r="9" spans="4:7" ht="12.75">
      <c r="D9" t="str">
        <f t="shared" si="1"/>
        <v>***</v>
      </c>
      <c r="G9" t="str">
        <f t="shared" si="0"/>
        <v>***</v>
      </c>
    </row>
    <row r="10" spans="4:7" ht="12.75">
      <c r="D10" t="str">
        <f t="shared" si="1"/>
        <v>***</v>
      </c>
      <c r="G10" t="str">
        <f t="shared" si="0"/>
        <v>***</v>
      </c>
    </row>
    <row r="11" spans="4:7" ht="12.75">
      <c r="D11" t="str">
        <f t="shared" si="1"/>
        <v>***</v>
      </c>
      <c r="G11" t="str">
        <f t="shared" si="0"/>
        <v>***</v>
      </c>
    </row>
    <row r="12" spans="4:7" ht="12.75">
      <c r="D12" t="str">
        <f t="shared" si="1"/>
        <v>***</v>
      </c>
      <c r="G12" t="str">
        <f t="shared" si="0"/>
        <v>***</v>
      </c>
    </row>
    <row r="13" spans="4:7" ht="12.75">
      <c r="D13" t="str">
        <f t="shared" si="1"/>
        <v>***</v>
      </c>
      <c r="G13" t="str">
        <f t="shared" si="0"/>
        <v>***</v>
      </c>
    </row>
    <row r="14" spans="4:7" ht="12.75">
      <c r="D14" t="str">
        <f t="shared" si="1"/>
        <v>***</v>
      </c>
      <c r="G14" t="str">
        <f t="shared" si="0"/>
        <v>***</v>
      </c>
    </row>
    <row r="15" spans="4:7" ht="12.75">
      <c r="D15" t="str">
        <f t="shared" si="1"/>
        <v>***</v>
      </c>
      <c r="G15" t="str">
        <f t="shared" si="0"/>
        <v>***</v>
      </c>
    </row>
    <row r="16" spans="4:7" ht="12.75">
      <c r="D16" t="str">
        <f t="shared" si="1"/>
        <v>***</v>
      </c>
      <c r="G16" t="str">
        <f t="shared" si="0"/>
        <v>***</v>
      </c>
    </row>
    <row r="17" spans="4:7" ht="12.75">
      <c r="D17" t="str">
        <f t="shared" si="1"/>
        <v>***</v>
      </c>
      <c r="G17" t="str">
        <f t="shared" si="0"/>
        <v>***</v>
      </c>
    </row>
    <row r="18" spans="4:7" ht="12.75">
      <c r="D18" t="str">
        <f t="shared" si="1"/>
        <v>***</v>
      </c>
      <c r="G18" t="str">
        <f t="shared" si="0"/>
        <v>***</v>
      </c>
    </row>
    <row r="19" spans="4:7" ht="12.75">
      <c r="D19" t="str">
        <f t="shared" si="1"/>
        <v>***</v>
      </c>
      <c r="G19" t="str">
        <f t="shared" si="0"/>
        <v>***</v>
      </c>
    </row>
    <row r="20" spans="4:7" ht="12.75">
      <c r="D20" t="str">
        <f t="shared" si="1"/>
        <v>***</v>
      </c>
      <c r="G20" t="str">
        <f t="shared" si="0"/>
        <v>***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P30"/>
  <sheetViews>
    <sheetView workbookViewId="0" topLeftCell="A1">
      <selection activeCell="G30" sqref="G30"/>
    </sheetView>
  </sheetViews>
  <sheetFormatPr defaultColWidth="11.00390625" defaultRowHeight="12"/>
  <cols>
    <col min="2" max="2" width="30.00390625" style="0" bestFit="1" customWidth="1"/>
  </cols>
  <sheetData>
    <row r="1" ht="13.5" thickBot="1"/>
    <row r="2" spans="2:16" ht="15" thickBot="1" thickTop="1">
      <c r="B2" s="6" t="s">
        <v>18</v>
      </c>
      <c r="C2" s="21" t="s">
        <v>19</v>
      </c>
      <c r="E2" s="21" t="s">
        <v>47</v>
      </c>
      <c r="F2" s="22" t="s">
        <v>47</v>
      </c>
      <c r="G2" s="22" t="s">
        <v>21</v>
      </c>
      <c r="H2" s="23">
        <v>100</v>
      </c>
      <c r="I2" s="23">
        <v>1000</v>
      </c>
      <c r="J2" s="23">
        <v>0</v>
      </c>
      <c r="K2" s="23">
        <v>10</v>
      </c>
      <c r="L2" s="23">
        <v>0</v>
      </c>
      <c r="M2" s="23">
        <v>1000000</v>
      </c>
      <c r="N2" s="24">
        <v>0.004999999888241291</v>
      </c>
      <c r="O2" s="23">
        <v>0</v>
      </c>
      <c r="P2" s="25">
        <v>0</v>
      </c>
    </row>
    <row r="3" spans="2:3" ht="15" thickBot="1" thickTop="1">
      <c r="B3" s="1" t="s">
        <v>20</v>
      </c>
      <c r="C3" s="22" t="s">
        <v>19</v>
      </c>
    </row>
    <row r="4" spans="2:6" ht="15" thickBot="1" thickTop="1">
      <c r="B4" s="1" t="s">
        <v>75</v>
      </c>
      <c r="C4" s="22" t="s">
        <v>21</v>
      </c>
      <c r="E4" t="s">
        <v>48</v>
      </c>
      <c r="F4" s="32">
        <v>400</v>
      </c>
    </row>
    <row r="5" spans="2:6" ht="15" thickBot="1" thickTop="1">
      <c r="B5" s="1" t="s">
        <v>22</v>
      </c>
      <c r="C5" s="23">
        <v>100</v>
      </c>
      <c r="E5" t="s">
        <v>50</v>
      </c>
      <c r="F5" s="33">
        <f>[3]!Inv_TotProfit(F4,Inv2)</f>
        <v>-1260</v>
      </c>
    </row>
    <row r="6" spans="2:3" ht="15" thickBot="1" thickTop="1">
      <c r="B6" s="1" t="s">
        <v>23</v>
      </c>
      <c r="C6" s="23">
        <v>1000</v>
      </c>
    </row>
    <row r="7" spans="2:6" ht="15" thickBot="1" thickTop="1">
      <c r="B7" s="1" t="s">
        <v>24</v>
      </c>
      <c r="C7" s="23">
        <v>0</v>
      </c>
      <c r="E7" t="s">
        <v>49</v>
      </c>
      <c r="F7" s="32">
        <f>[3]!Inv_EOQ(Inv2)</f>
        <v>2000.0000596046475</v>
      </c>
    </row>
    <row r="8" spans="2:6" ht="15" thickBot="1" thickTop="1">
      <c r="B8" s="1" t="s">
        <v>25</v>
      </c>
      <c r="C8" s="23">
        <v>10</v>
      </c>
      <c r="E8" t="s">
        <v>51</v>
      </c>
      <c r="F8" s="33">
        <f>[3]!Inv_TotProfit(F7,Inv2)</f>
        <v>-1100</v>
      </c>
    </row>
    <row r="9" spans="2:3" ht="13.5" thickTop="1">
      <c r="B9" s="1" t="s">
        <v>26</v>
      </c>
      <c r="C9" s="23">
        <v>0</v>
      </c>
    </row>
    <row r="10" spans="2:3" ht="12.75">
      <c r="B10" s="1" t="s">
        <v>27</v>
      </c>
      <c r="C10" s="23">
        <v>1000000</v>
      </c>
    </row>
    <row r="11" spans="2:3" ht="12.75">
      <c r="B11" s="1" t="s">
        <v>28</v>
      </c>
      <c r="C11" s="24">
        <v>0.004999999888241291</v>
      </c>
    </row>
    <row r="12" spans="2:3" ht="12.75">
      <c r="B12" s="1" t="s">
        <v>29</v>
      </c>
      <c r="C12" s="23">
        <v>0</v>
      </c>
    </row>
    <row r="13" spans="2:3" ht="13.5" thickBot="1">
      <c r="B13" s="1" t="s">
        <v>30</v>
      </c>
      <c r="C13" s="25">
        <v>0</v>
      </c>
    </row>
    <row r="14" spans="2:3" ht="15" thickBot="1" thickTop="1">
      <c r="B14" s="1" t="s">
        <v>31</v>
      </c>
      <c r="C14" s="26">
        <v>400</v>
      </c>
    </row>
    <row r="15" spans="2:3" ht="13.5" thickTop="1">
      <c r="B15" s="1" t="s">
        <v>32</v>
      </c>
      <c r="C15" s="27">
        <f>[3]!Inv_TotProfit(Inv1_Inst,Inv1)</f>
        <v>-1260</v>
      </c>
    </row>
    <row r="16" spans="2:3" ht="12.75">
      <c r="B16" s="1" t="s">
        <v>33</v>
      </c>
      <c r="C16" s="28">
        <f>[3]!Inv_InvCost(Inv1_Inst,Inv1)</f>
        <v>260</v>
      </c>
    </row>
    <row r="17" spans="2:3" ht="12.75">
      <c r="B17" s="1" t="s">
        <v>34</v>
      </c>
      <c r="C17" s="29">
        <f>[3]!Inv_Level(Inv1_Inst,Inv1)</f>
        <v>200</v>
      </c>
    </row>
    <row r="18" spans="2:3" ht="12.75">
      <c r="B18" s="1" t="s">
        <v>35</v>
      </c>
      <c r="C18" s="29">
        <f>[3]!Inv_Max(Inv1_Inst,Inv1)</f>
        <v>400</v>
      </c>
    </row>
    <row r="19" spans="2:3" ht="12.75">
      <c r="B19" s="1" t="s">
        <v>36</v>
      </c>
      <c r="C19" s="29">
        <f>[3]!Inv_Reorder(Inv1_Inst,Inv1)</f>
        <v>0</v>
      </c>
    </row>
    <row r="20" spans="2:3" ht="12.75">
      <c r="B20" s="1" t="s">
        <v>37</v>
      </c>
      <c r="C20" s="30">
        <f>[3]!Inv_CycleTime(Inv1_Inst,Inv1)</f>
        <v>4</v>
      </c>
    </row>
    <row r="21" spans="2:3" ht="13.5" thickBot="1">
      <c r="B21" s="1" t="s">
        <v>38</v>
      </c>
      <c r="C21" s="31">
        <f>[3]!Inv_ResTime(Inv1_Inst,Inv1)</f>
        <v>2</v>
      </c>
    </row>
    <row r="22" spans="2:3" ht="15" thickBot="1" thickTop="1">
      <c r="B22" s="1" t="s">
        <v>39</v>
      </c>
      <c r="C22" s="32">
        <f>[3]!Inv_EOQ(Inv1)</f>
        <v>2000.0000596046475</v>
      </c>
    </row>
    <row r="23" spans="2:3" ht="13.5" thickTop="1">
      <c r="B23" s="1" t="s">
        <v>40</v>
      </c>
      <c r="C23" s="27">
        <f>[3]!Inv_TotProfit(Inv1_Opt,Inv1)</f>
        <v>-1100</v>
      </c>
    </row>
    <row r="24" spans="2:3" ht="12.75">
      <c r="B24" s="1" t="s">
        <v>41</v>
      </c>
      <c r="C24" s="28">
        <f>[3]!Inv_InvCost(Inv1_Opt,Inv1)</f>
        <v>100</v>
      </c>
    </row>
    <row r="25" spans="2:3" ht="12.75">
      <c r="B25" s="1" t="s">
        <v>42</v>
      </c>
      <c r="C25" s="29">
        <f>[3]!Inv_Level(Inv1_Opt,Inv1)</f>
        <v>1000</v>
      </c>
    </row>
    <row r="26" spans="2:3" ht="12.75">
      <c r="B26" s="1" t="s">
        <v>43</v>
      </c>
      <c r="C26" s="29">
        <f>[3]!Inv_Max(Inv1_Opt,Inv1)</f>
        <v>2000</v>
      </c>
    </row>
    <row r="27" spans="2:3" ht="12.75">
      <c r="B27" s="1" t="s">
        <v>44</v>
      </c>
      <c r="C27" s="29">
        <f>[3]!Inv_Reorder(Inv1_Opt,Inv1)</f>
        <v>0</v>
      </c>
    </row>
    <row r="28" spans="2:3" ht="12.75">
      <c r="B28" s="1" t="s">
        <v>45</v>
      </c>
      <c r="C28" s="30">
        <f>[3]!Inv_CycleTime(Inv1_Opt,Inv1)</f>
        <v>20</v>
      </c>
    </row>
    <row r="29" spans="2:3" ht="13.5" thickBot="1">
      <c r="B29" s="1" t="s">
        <v>46</v>
      </c>
      <c r="C29" s="31">
        <f>[3]!Inv_ResTime(Inv1_Opt,Inv1)</f>
        <v>10</v>
      </c>
    </row>
    <row r="30" ht="13.5" thickTop="1">
      <c r="B3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2:J22"/>
  <sheetViews>
    <sheetView workbookViewId="0" topLeftCell="A2">
      <selection activeCell="F35" sqref="F35"/>
    </sheetView>
  </sheetViews>
  <sheetFormatPr defaultColWidth="11.00390625" defaultRowHeight="12"/>
  <cols>
    <col min="2" max="2" width="21.125" style="0" bestFit="1" customWidth="1"/>
    <col min="5" max="5" width="3.625" style="0" customWidth="1"/>
    <col min="8" max="8" width="12.875" style="0" bestFit="1" customWidth="1"/>
  </cols>
  <sheetData>
    <row r="1" ht="13.5" thickBot="1"/>
    <row r="2" spans="2:3" ht="13.5" thickTop="1">
      <c r="B2" s="12" t="s">
        <v>105</v>
      </c>
      <c r="C2" s="13" t="s">
        <v>109</v>
      </c>
    </row>
    <row r="3" spans="2:8" ht="12.75">
      <c r="B3" s="14" t="s">
        <v>106</v>
      </c>
      <c r="C3" s="15" t="s">
        <v>110</v>
      </c>
      <c r="H3" s="19" t="s">
        <v>119</v>
      </c>
    </row>
    <row r="4" spans="2:8" ht="12.75">
      <c r="B4" s="14" t="s">
        <v>107</v>
      </c>
      <c r="C4" s="15">
        <v>10</v>
      </c>
      <c r="H4" s="19">
        <v>0</v>
      </c>
    </row>
    <row r="5" spans="2:8" ht="13.5" thickBot="1">
      <c r="B5" s="16" t="s">
        <v>108</v>
      </c>
      <c r="C5" s="17">
        <v>5</v>
      </c>
      <c r="H5" s="19">
        <v>5</v>
      </c>
    </row>
    <row r="6" ht="13.5" thickTop="1">
      <c r="H6" s="19">
        <v>10</v>
      </c>
    </row>
    <row r="7" spans="7:10" ht="13.5" thickBot="1">
      <c r="G7" s="18" t="s">
        <v>111</v>
      </c>
      <c r="H7">
        <f>[2]!RV_MEAN($H$3:$H$6)</f>
        <v>5.000000037252903</v>
      </c>
      <c r="J7" t="s">
        <v>0</v>
      </c>
    </row>
    <row r="8" spans="2:10" ht="13.5" thickTop="1">
      <c r="B8" s="12" t="s">
        <v>105</v>
      </c>
      <c r="C8" s="13" t="s">
        <v>118</v>
      </c>
      <c r="G8" s="18" t="s">
        <v>112</v>
      </c>
      <c r="H8">
        <f>[2]!RV_VAR($H$3:$H$6)</f>
        <v>5.833333376795055</v>
      </c>
      <c r="J8" t="s">
        <v>1</v>
      </c>
    </row>
    <row r="9" spans="2:10" ht="12.75">
      <c r="B9" s="14" t="s">
        <v>106</v>
      </c>
      <c r="C9" s="15" t="s">
        <v>119</v>
      </c>
      <c r="G9" s="18" t="s">
        <v>113</v>
      </c>
      <c r="H9">
        <f>[2]!RV_SKEW($H$3:$H$6)</f>
        <v>-4.62725013384034E-08</v>
      </c>
      <c r="J9" t="s">
        <v>2</v>
      </c>
    </row>
    <row r="10" spans="2:10" ht="12.75">
      <c r="B10" s="14" t="s">
        <v>115</v>
      </c>
      <c r="C10" s="15">
        <v>0</v>
      </c>
      <c r="G10" s="18" t="s">
        <v>114</v>
      </c>
      <c r="H10">
        <f>[2]!RV_KURT($H$3:$H$6)</f>
        <v>-0.634285731911659</v>
      </c>
      <c r="J10" t="s">
        <v>3</v>
      </c>
    </row>
    <row r="11" spans="2:3" ht="12.75">
      <c r="B11" s="14" t="s">
        <v>116</v>
      </c>
      <c r="C11" s="15">
        <v>5</v>
      </c>
    </row>
    <row r="12" spans="2:10" ht="13.5" thickBot="1">
      <c r="B12" s="16" t="s">
        <v>117</v>
      </c>
      <c r="C12" s="17">
        <v>10</v>
      </c>
      <c r="F12" s="19" t="s">
        <v>110</v>
      </c>
      <c r="G12" s="18" t="s">
        <v>111</v>
      </c>
      <c r="H12">
        <f>[2]!RV_MEAN(RV3)</f>
        <v>10</v>
      </c>
      <c r="J12" t="s">
        <v>4</v>
      </c>
    </row>
    <row r="13" spans="6:10" ht="13.5" thickTop="1">
      <c r="F13" s="19">
        <v>10</v>
      </c>
      <c r="G13" s="18" t="s">
        <v>112</v>
      </c>
      <c r="H13">
        <f>[2]!RV_VAR(RV3)</f>
        <v>25</v>
      </c>
      <c r="J13" t="s">
        <v>5</v>
      </c>
    </row>
    <row r="14" spans="6:10" ht="12.75">
      <c r="F14" s="19">
        <v>5</v>
      </c>
      <c r="G14" s="18" t="s">
        <v>113</v>
      </c>
      <c r="H14">
        <f>[2]!RV_SKEW(RV3)</f>
        <v>0</v>
      </c>
      <c r="J14" t="s">
        <v>6</v>
      </c>
    </row>
    <row r="15" spans="7:10" ht="12.75">
      <c r="G15" s="18" t="s">
        <v>114</v>
      </c>
      <c r="H15">
        <f>[2]!RV_KURT(RV3)</f>
        <v>0</v>
      </c>
      <c r="J15" t="s">
        <v>7</v>
      </c>
    </row>
    <row r="17" spans="6:8" ht="12.75">
      <c r="F17" s="11" t="s">
        <v>110</v>
      </c>
      <c r="G17" s="11">
        <v>10</v>
      </c>
      <c r="H17" s="11">
        <v>5</v>
      </c>
    </row>
    <row r="19" spans="6:9" ht="12.75">
      <c r="F19" s="18" t="s">
        <v>111</v>
      </c>
      <c r="G19">
        <f>[2]!RV_MEAN($F$17:$H$17)</f>
        <v>10</v>
      </c>
      <c r="I19" t="s">
        <v>8</v>
      </c>
    </row>
    <row r="20" spans="6:9" ht="12.75">
      <c r="F20" s="18" t="s">
        <v>112</v>
      </c>
      <c r="G20">
        <f>[2]!RV_VAR($F$17:$H$17)</f>
        <v>25</v>
      </c>
      <c r="I20" t="s">
        <v>9</v>
      </c>
    </row>
    <row r="21" spans="6:9" ht="12.75">
      <c r="F21" s="18" t="s">
        <v>113</v>
      </c>
      <c r="G21">
        <f>[2]!RV_SKEW($F$17:$H$17)</f>
        <v>0</v>
      </c>
      <c r="I21" t="s">
        <v>10</v>
      </c>
    </row>
    <row r="22" spans="6:9" ht="12.75">
      <c r="F22" s="18" t="s">
        <v>114</v>
      </c>
      <c r="G22">
        <f>[2]!RV_KURT($F$17:$H$17)</f>
        <v>0</v>
      </c>
      <c r="I2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PAJ_Components</dc:title>
  <dc:subject/>
  <dc:creator>Paul Jensen</dc:creator>
  <cp:keywords/>
  <dc:description/>
  <cp:lastModifiedBy>Paul Jensen</cp:lastModifiedBy>
  <dcterms:created xsi:type="dcterms:W3CDTF">2003-09-08T15:34:52Z</dcterms:created>
  <cp:category/>
  <cp:version/>
  <cp:contentType/>
  <cp:contentStatus/>
</cp:coreProperties>
</file>