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500" windowHeight="12300" activeTab="0"/>
  </bookViews>
  <sheets>
    <sheet name="Instructions" sheetId="1" r:id="rId1"/>
    <sheet name="PQR" sheetId="2" r:id="rId2"/>
  </sheets>
  <definedNames>
    <definedName name="PQR_A1">'PQR'!$S$11</definedName>
    <definedName name="PQR_A10">'PQR'!$S$101</definedName>
    <definedName name="PQR_A11">'PQR'!$S$111</definedName>
    <definedName name="PQR_A12">'PQR'!$S$121</definedName>
    <definedName name="PQR_A2">'PQR'!$S$21</definedName>
    <definedName name="PQR_A3">'PQR'!$S$31</definedName>
    <definedName name="PQR_A4">'PQR'!$S$41</definedName>
    <definedName name="PQR_A5">'PQR'!$S$51</definedName>
    <definedName name="PQR_A6">'PQR'!$S$61</definedName>
    <definedName name="PQR_A7">'PQR'!$S$71</definedName>
    <definedName name="PQR_A8">'PQR'!$S$81</definedName>
    <definedName name="PQR_A9">'PQR'!$S$91</definedName>
    <definedName name="PQR_BOM1">'PQR'!$B$11:$C$13</definedName>
    <definedName name="PQR_BOM10">'PQR'!$B$101:$C$103</definedName>
    <definedName name="PQR_BOM11">'PQR'!$B$111:$C$113</definedName>
    <definedName name="PQR_BOM12">'PQR'!$B$121:$C$123</definedName>
    <definedName name="PQR_BOM2">'PQR'!$B$21:$C$23</definedName>
    <definedName name="PQR_BOM3">'PQR'!$B$31:$C$33</definedName>
    <definedName name="PQR_BOM4">'PQR'!$B$41:$C$43</definedName>
    <definedName name="PQR_BOM5">'PQR'!$B$51:$C$53</definedName>
    <definedName name="PQR_BOM6">'PQR'!$B$61:$C$63</definedName>
    <definedName name="PQR_BOM7">'PQR'!$B$71:$C$73</definedName>
    <definedName name="PQR_BOM8">'PQR'!$B$81:$C$83</definedName>
    <definedName name="PQR_BOM9">'PQR'!$B$91:$C$93</definedName>
    <definedName name="PQR_Cost1">'PQR'!$C$17</definedName>
    <definedName name="PQR_Cost10">'PQR'!$C$107</definedName>
    <definedName name="PQR_Cost11">'PQR'!$C$117</definedName>
    <definedName name="PQR_Cost12">'PQR'!$C$127</definedName>
    <definedName name="PQR_Cost2">'PQR'!$C$27</definedName>
    <definedName name="PQR_Cost3">'PQR'!$C$37</definedName>
    <definedName name="PQR_Cost4">'PQR'!$C$47</definedName>
    <definedName name="PQR_Cost5">'PQR'!$C$57</definedName>
    <definedName name="PQR_Cost6">'PQR'!$C$67</definedName>
    <definedName name="PQR_Cost7">'PQR'!$C$77</definedName>
    <definedName name="PQR_Cost8">'PQR'!$C$87</definedName>
    <definedName name="PQR_Cost9">'PQR'!$C$97</definedName>
    <definedName name="PQR_Gross_1">'PQR'!$F$10:$Q$10</definedName>
    <definedName name="PQR_Gross_10">'PQR'!$F$100:$Q$100</definedName>
    <definedName name="PQR_Gross_11">'PQR'!$F$110:$Q$110</definedName>
    <definedName name="PQR_Gross_12">'PQR'!$F$120:$Q$120</definedName>
    <definedName name="PQR_Gross_2">'PQR'!$F$20:$Q$20</definedName>
    <definedName name="PQR_Gross_3">'PQR'!$F$30:$Q$30</definedName>
    <definedName name="PQR_Gross_4">'PQR'!$F$40:$Q$40</definedName>
    <definedName name="PQR_Gross_5">'PQR'!$F$50:$Q$50</definedName>
    <definedName name="PQR_Gross_6">'PQR'!$F$60:$Q$60</definedName>
    <definedName name="PQR_Gross_7">'PQR'!$F$70:$Q$70</definedName>
    <definedName name="PQR_Gross_8">'PQR'!$F$80:$Q$80</definedName>
    <definedName name="PQR_Gross_9">'PQR'!$F$90:$Q$90</definedName>
    <definedName name="PQR_h1">'PQR'!$S$12</definedName>
    <definedName name="PQR_h10">'PQR'!$S$102</definedName>
    <definedName name="PQR_h11">'PQR'!$S$112</definedName>
    <definedName name="PQR_h12">'PQR'!$S$122</definedName>
    <definedName name="PQR_h2">'PQR'!$S$22</definedName>
    <definedName name="PQR_h3">'PQR'!$S$32</definedName>
    <definedName name="PQR_h4">'PQR'!$S$42</definedName>
    <definedName name="PQR_h5">'PQR'!$S$52</definedName>
    <definedName name="PQR_h6">'PQR'!$S$62</definedName>
    <definedName name="PQR_h7">'PQR'!$S$72</definedName>
    <definedName name="PQR_h8">'PQR'!$S$82</definedName>
    <definedName name="PQR_h9">'PQR'!$S$92</definedName>
    <definedName name="PQR_Horizon">'PQR'!$C$3</definedName>
    <definedName name="PQR_Interest">'PQR'!$C$6</definedName>
    <definedName name="PQR_Lead1">'PQR'!$C$14</definedName>
    <definedName name="PQR_Lead10">'PQR'!$C$104</definedName>
    <definedName name="PQR_Lead11">'PQR'!$C$114</definedName>
    <definedName name="PQR_Lead12">'PQR'!$C$124</definedName>
    <definedName name="PQR_Lead2">'PQR'!$C$24</definedName>
    <definedName name="PQR_Lead3">'PQR'!$C$34</definedName>
    <definedName name="PQR_Lead4">'PQR'!$C$44</definedName>
    <definedName name="PQR_Lead5">'PQR'!$C$54</definedName>
    <definedName name="PQR_Lead6">'PQR'!$C$64</definedName>
    <definedName name="PQR_Lead7">'PQR'!$C$74</definedName>
    <definedName name="PQR_Lead8">'PQR'!$C$84</definedName>
    <definedName name="PQR_Lead9">'PQR'!$C$94</definedName>
    <definedName name="PQR_Level1">'PQR'!$C$10</definedName>
    <definedName name="PQR_Level10">'PQR'!$C$100</definedName>
    <definedName name="PQR_Level11">'PQR'!$C$110</definedName>
    <definedName name="PQR_Level12">'PQR'!$C$120</definedName>
    <definedName name="PQR_Level2">'PQR'!$C$20</definedName>
    <definedName name="PQR_Level3">'PQR'!$C$30</definedName>
    <definedName name="PQR_Level4">'PQR'!$C$40</definedName>
    <definedName name="PQR_Level5">'PQR'!$C$50</definedName>
    <definedName name="PQR_Level6">'PQR'!$C$60</definedName>
    <definedName name="PQR_Level7">'PQR'!$C$70</definedName>
    <definedName name="PQR_Level8">'PQR'!$C$80</definedName>
    <definedName name="PQR_Level9">'PQR'!$C$90</definedName>
    <definedName name="PQR_Lot1">'PQR'!$C$15</definedName>
    <definedName name="PQR_Lot10">'PQR'!$C$105</definedName>
    <definedName name="PQR_Lot11">'PQR'!$C$115</definedName>
    <definedName name="PQR_Lot12">'PQR'!$C$125</definedName>
    <definedName name="PQR_Lot2">'PQR'!$C$25</definedName>
    <definedName name="PQR_Lot3">'PQR'!$C$35</definedName>
    <definedName name="PQR_Lot4">'PQR'!$C$45</definedName>
    <definedName name="PQR_Lot5">'PQR'!$C$55</definedName>
    <definedName name="PQR_Lot6">'PQR'!$C$65</definedName>
    <definedName name="PQR_Lot7">'PQR'!$C$75</definedName>
    <definedName name="PQR_Lot8">'PQR'!$C$85</definedName>
    <definedName name="PQR_Lot9">'PQR'!$C$95</definedName>
    <definedName name="PQR_LotMethod1">'PQR'!$B$15</definedName>
    <definedName name="PQR_LotMethod10">'PQR'!$B$105</definedName>
    <definedName name="PQR_LotMethod11">'PQR'!$B$115</definedName>
    <definedName name="PQR_LotMethod12">'PQR'!$B$125</definedName>
    <definedName name="PQR_LotMethod2">'PQR'!$B$25</definedName>
    <definedName name="PQR_LotMethod3">'PQR'!$B$35</definedName>
    <definedName name="PQR_LotMethod4">'PQR'!$B$45</definedName>
    <definedName name="PQR_LotMethod5">'PQR'!$B$55</definedName>
    <definedName name="PQR_LotMethod6">'PQR'!$B$65</definedName>
    <definedName name="PQR_LotMethod7">'PQR'!$B$75</definedName>
    <definedName name="PQR_LotMethod8">'PQR'!$B$85</definedName>
    <definedName name="PQR_LotMethod9">'PQR'!$B$95</definedName>
    <definedName name="PQR_MPS">'PQR'!$D$4:$Q$7</definedName>
    <definedName name="PQR_MPS_Prod_1">'PQR'!$F$5:$Q$5</definedName>
    <definedName name="PQR_MPS_Prod_2">'PQR'!$F$6:$Q$6</definedName>
    <definedName name="PQR_MPS_Prod_3">'PQR'!$F$7:$Q$7</definedName>
    <definedName name="PQR_MPS_Prod_D1">'PQR'!$S$5</definedName>
    <definedName name="PQR_MPS_Prod_D2">'PQR'!$S$6</definedName>
    <definedName name="PQR_MPS_Prod_D3">'PQR'!$S$7</definedName>
    <definedName name="PQR_No_MPS">'PQR'!$C$4</definedName>
    <definedName name="PQR_No_Parts">'PQR'!$C$5</definedName>
    <definedName name="PQR_Part_D1">'PQR'!$S$10</definedName>
    <definedName name="PQR_Part_D10">'PQR'!$S$100</definedName>
    <definedName name="PQR_Part_D11">'PQR'!$S$110</definedName>
    <definedName name="PQR_Part_D12">'PQR'!$S$120</definedName>
    <definedName name="PQR_Part_D2">'PQR'!$S$20</definedName>
    <definedName name="PQR_Part_D3">'PQR'!$S$30</definedName>
    <definedName name="PQR_Part_D4">'PQR'!$S$40</definedName>
    <definedName name="PQR_Part_D5">'PQR'!$S$50</definedName>
    <definedName name="PQR_Part_D6">'PQR'!$S$60</definedName>
    <definedName name="PQR_Part_D7">'PQR'!$S$70</definedName>
    <definedName name="PQR_Part_D8">'PQR'!$S$80</definedName>
    <definedName name="PQR_Part_D9">'PQR'!$S$90</definedName>
    <definedName name="PQR_Part1">'PQR'!$A$9:$S$17</definedName>
    <definedName name="PQR_Part1_OH">'PQR'!$F$16:$Q$16</definedName>
    <definedName name="PQR_Part1_Rec">'PQR'!$F$14:$Q$14</definedName>
    <definedName name="PQR_Part1_Rel">'PQR'!$F$15:$Q$15</definedName>
    <definedName name="PQR_Part1_Req">'PQR'!$F$13:$Q$13</definedName>
    <definedName name="PQR_Part1_WIP">'PQR'!$F$17:$Q$17</definedName>
    <definedName name="PQR_Part10">'PQR'!$A$99:$S$107</definedName>
    <definedName name="PQR_Part10_OH">'PQR'!$F$106:$Q$106</definedName>
    <definedName name="PQR_Part10_Rec">'PQR'!$F$104:$Q$104</definedName>
    <definedName name="PQR_Part10_Rel">'PQR'!$F$105:$Q$105</definedName>
    <definedName name="PQR_Part10_Req">'PQR'!$F$103:$Q$103</definedName>
    <definedName name="PQR_Part10_WIP">'PQR'!$F$107:$Q$107</definedName>
    <definedName name="PQR_Part11">'PQR'!$A$109:$S$117</definedName>
    <definedName name="PQR_Part11_OH">'PQR'!$F$116:$Q$116</definedName>
    <definedName name="PQR_Part11_Rec">'PQR'!$F$114:$Q$114</definedName>
    <definedName name="PQR_Part11_Rel">'PQR'!$F$115:$Q$115</definedName>
    <definedName name="PQR_Part11_Req">'PQR'!$F$113:$Q$113</definedName>
    <definedName name="PQR_Part11_WIP">'PQR'!$F$117:$Q$117</definedName>
    <definedName name="PQR_Part12">'PQR'!$A$119:$S$127</definedName>
    <definedName name="PQR_Part12_OH">'PQR'!$F$126:$Q$126</definedName>
    <definedName name="PQR_Part12_Rec">'PQR'!$F$124:$Q$124</definedName>
    <definedName name="PQR_Part12_Rel">'PQR'!$F$125:$Q$125</definedName>
    <definedName name="PQR_Part12_Req">'PQR'!$F$123:$Q$123</definedName>
    <definedName name="PQR_Part12_WIP">'PQR'!$F$127:$Q$127</definedName>
    <definedName name="PQR_Part2">'PQR'!$A$19:$S$27</definedName>
    <definedName name="PQR_Part2_OH">'PQR'!$F$26:$Q$26</definedName>
    <definedName name="PQR_Part2_Rec">'PQR'!$F$24:$Q$24</definedName>
    <definedName name="PQR_Part2_Rel">'PQR'!$F$25:$Q$25</definedName>
    <definedName name="PQR_Part2_Req">'PQR'!$F$23:$Q$23</definedName>
    <definedName name="PQR_Part2_WIP">'PQR'!$F$27:$Q$27</definedName>
    <definedName name="PQR_Part3">'PQR'!$A$29:$S$37</definedName>
    <definedName name="PQR_Part3_OH">'PQR'!$F$36:$Q$36</definedName>
    <definedName name="PQR_Part3_Rec">'PQR'!$F$34:$Q$34</definedName>
    <definedName name="PQR_Part3_Rel">'PQR'!$F$35:$Q$35</definedName>
    <definedName name="PQR_Part3_Req">'PQR'!$F$33:$Q$33</definedName>
    <definedName name="PQR_Part3_WIP">'PQR'!$F$37:$Q$37</definedName>
    <definedName name="PQR_Part4">'PQR'!$A$39:$S$47</definedName>
    <definedName name="PQR_Part4_OH">'PQR'!$F$46:$Q$46</definedName>
    <definedName name="PQR_Part4_Rec">'PQR'!$F$44:$Q$44</definedName>
    <definedName name="PQR_Part4_Rel">'PQR'!$F$45:$Q$45</definedName>
    <definedName name="PQR_Part4_Req">'PQR'!$F$43:$Q$43</definedName>
    <definedName name="PQR_Part4_WIP">'PQR'!$F$47:$Q$47</definedName>
    <definedName name="PQR_Part5">'PQR'!$A$49:$S$57</definedName>
    <definedName name="PQR_Part5_OH">'PQR'!$F$56:$Q$56</definedName>
    <definedName name="PQR_Part5_Rec">'PQR'!$F$54:$Q$54</definedName>
    <definedName name="PQR_Part5_Rel">'PQR'!$F$55:$Q$55</definedName>
    <definedName name="PQR_Part5_Req">'PQR'!$F$53:$Q$53</definedName>
    <definedName name="PQR_Part5_WIP">'PQR'!$F$57:$Q$57</definedName>
    <definedName name="PQR_Part6">'PQR'!$A$59:$S$67</definedName>
    <definedName name="PQR_Part6_OH">'PQR'!$F$66:$Q$66</definedName>
    <definedName name="PQR_Part6_Rec">'PQR'!$F$64:$Q$64</definedName>
    <definedName name="PQR_Part6_Rel">'PQR'!$F$65:$Q$65</definedName>
    <definedName name="PQR_Part6_Req">'PQR'!$F$63:$Q$63</definedName>
    <definedName name="PQR_Part6_WIP">'PQR'!$F$67:$Q$67</definedName>
    <definedName name="PQR_Part7">'PQR'!$A$69:$S$77</definedName>
    <definedName name="PQR_Part7_OH">'PQR'!$F$76:$Q$76</definedName>
    <definedName name="PQR_Part7_Rec">'PQR'!$F$74:$Q$74</definedName>
    <definedName name="PQR_Part7_Rel">'PQR'!$F$75:$Q$75</definedName>
    <definedName name="PQR_Part7_Req">'PQR'!$F$73:$Q$73</definedName>
    <definedName name="PQR_Part7_WIP">'PQR'!$F$77:$Q$77</definedName>
    <definedName name="PQR_Part8">'PQR'!$A$79:$S$87</definedName>
    <definedName name="PQR_Part8_OH">'PQR'!$F$86:$Q$86</definedName>
    <definedName name="PQR_Part8_Rec">'PQR'!$F$84:$Q$84</definedName>
    <definedName name="PQR_Part8_Rel">'PQR'!$F$85:$Q$85</definedName>
    <definedName name="PQR_Part8_Req">'PQR'!$F$83:$Q$83</definedName>
    <definedName name="PQR_Part8_WIP">'PQR'!$F$87:$Q$87</definedName>
    <definedName name="PQR_Part9">'PQR'!$A$89:$S$97</definedName>
    <definedName name="PQR_Part9_OH">'PQR'!$F$96:$Q$96</definedName>
    <definedName name="PQR_Part9_Rec">'PQR'!$F$94:$Q$94</definedName>
    <definedName name="PQR_Part9_Rel">'PQR'!$F$95:$Q$95</definedName>
    <definedName name="PQR_Part9_Req">'PQR'!$F$93:$Q$93</definedName>
    <definedName name="PQR_Part9_WIP">'PQR'!$F$97:$Q$97</definedName>
  </definedNames>
  <calcPr calcMode="manual" fullCalcOnLoad="1"/>
</workbook>
</file>

<file path=xl/sharedStrings.xml><?xml version="1.0" encoding="utf-8"?>
<sst xmlns="http://schemas.openxmlformats.org/spreadsheetml/2006/main" count="351" uniqueCount="50">
  <si>
    <t>This workbook includes the  sheet MRP with an example problem. Experiment with changing the data and parameters. Use the menu commands to resolve the problem.</t>
  </si>
  <si>
    <t>•</t>
  </si>
  <si>
    <t>Materials Requirements Planning</t>
  </si>
  <si>
    <t>Name:</t>
  </si>
  <si>
    <t>PQR</t>
  </si>
  <si>
    <t>Horizon:</t>
  </si>
  <si>
    <t>Master Production Schedule</t>
  </si>
  <si>
    <t>MPS:</t>
  </si>
  <si>
    <t>Independent Demand</t>
  </si>
  <si>
    <t xml:space="preserve">  </t>
  </si>
  <si>
    <t>Demand</t>
  </si>
  <si>
    <t>Parts:</t>
  </si>
  <si>
    <t>P-400</t>
  </si>
  <si>
    <t>Interest:</t>
  </si>
  <si>
    <t>Q-450</t>
  </si>
  <si>
    <t>R-250</t>
  </si>
  <si>
    <t>Part No.</t>
  </si>
  <si>
    <t>Period</t>
  </si>
  <si>
    <t>Part</t>
  </si>
  <si>
    <t>Level</t>
  </si>
  <si>
    <t>Gross Requirements</t>
  </si>
  <si>
    <t>Demand Rate</t>
  </si>
  <si>
    <t>BOM Parts</t>
  </si>
  <si>
    <t>PP</t>
  </si>
  <si>
    <t>Scheduled Receipts</t>
  </si>
  <si>
    <t>Setup Cost</t>
  </si>
  <si>
    <t>Projected On-hand</t>
  </si>
  <si>
    <t>Holding Cost</t>
  </si>
  <si>
    <t>Net Requirements</t>
  </si>
  <si>
    <t>Avg. WIP &amp; OH</t>
  </si>
  <si>
    <t>Lead Time</t>
  </si>
  <si>
    <t>Planned Order Receipts</t>
  </si>
  <si>
    <t>Avg. Setups</t>
  </si>
  <si>
    <t>Lot Method</t>
  </si>
  <si>
    <t>FOP</t>
  </si>
  <si>
    <t>Planned Order Releases</t>
  </si>
  <si>
    <t>Inv. Cost</t>
  </si>
  <si>
    <t>Cost Added</t>
  </si>
  <si>
    <t>Inventory On Hand</t>
  </si>
  <si>
    <t>EOQ</t>
  </si>
  <si>
    <t>Unit Cost</t>
  </si>
  <si>
    <t>Work in Process</t>
  </si>
  <si>
    <t>EOP</t>
  </si>
  <si>
    <t xml:space="preserve"> </t>
  </si>
  <si>
    <t xml:space="preserve">FOP </t>
  </si>
  <si>
    <t>LFL</t>
  </si>
  <si>
    <t>RM1</t>
  </si>
  <si>
    <t>RM2</t>
  </si>
  <si>
    <t>RM3</t>
  </si>
  <si>
    <t>Instructions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</si>
</sst>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##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4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4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JSty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showGridLines="0" tabSelected="1" workbookViewId="0" topLeftCell="A1">
      <selection activeCell="C12" sqref="C12"/>
    </sheetView>
  </sheetViews>
  <sheetFormatPr defaultColWidth="11.00390625" defaultRowHeight="12.75"/>
  <cols>
    <col min="1" max="1" width="15.125" style="0" customWidth="1"/>
    <col min="2" max="2" width="5.125" style="18" customWidth="1"/>
    <col min="3" max="3" width="73.375" style="23" customWidth="1"/>
  </cols>
  <sheetData>
    <row r="1" ht="18">
      <c r="C1" s="19" t="s">
        <v>49</v>
      </c>
    </row>
    <row r="2" spans="2:3" ht="25.5">
      <c r="B2" s="18" t="s">
        <v>1</v>
      </c>
      <c r="C2" s="20" t="s">
        <v>0</v>
      </c>
    </row>
    <row r="3" spans="2:3" ht="18">
      <c r="B3" s="21"/>
      <c r="C3" s="22"/>
    </row>
    <row r="4" spans="2:3" ht="18">
      <c r="B4" s="21"/>
      <c r="C4" s="22"/>
    </row>
    <row r="5" spans="2:3" ht="18">
      <c r="B5" s="21"/>
      <c r="C5" s="22"/>
    </row>
    <row r="6" ht="18">
      <c r="C6" s="2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showGridLines="0" workbookViewId="0" topLeftCell="A1">
      <selection activeCell="U15" sqref="U15"/>
    </sheetView>
  </sheetViews>
  <sheetFormatPr defaultColWidth="11.00390625" defaultRowHeight="12.75"/>
  <cols>
    <col min="1" max="1" width="8.75390625" style="0" customWidth="1"/>
    <col min="2" max="2" width="4.125" style="0" customWidth="1"/>
    <col min="3" max="3" width="5.75390625" style="0" customWidth="1"/>
    <col min="4" max="4" width="19.00390625" style="0" customWidth="1"/>
    <col min="5" max="5" width="5.75390625" style="0" customWidth="1"/>
    <col min="6" max="7" width="4.75390625" style="0" customWidth="1"/>
    <col min="8" max="8" width="5.75390625" style="0" customWidth="1"/>
    <col min="9" max="16" width="0.2421875" style="0" customWidth="1"/>
    <col min="17" max="17" width="5.75390625" style="0" customWidth="1"/>
    <col min="18" max="18" width="11.125" style="4" customWidth="1"/>
    <col min="19" max="19" width="6.25390625" style="3" customWidth="1"/>
    <col min="20" max="16384" width="6.75390625" style="0" customWidth="1"/>
  </cols>
  <sheetData>
    <row r="1" ht="15.75">
      <c r="A1" s="2" t="s">
        <v>2</v>
      </c>
    </row>
    <row r="2" spans="2:3" ht="12.75">
      <c r="B2" s="3" t="s">
        <v>3</v>
      </c>
      <c r="C2" s="5" t="s">
        <v>4</v>
      </c>
    </row>
    <row r="3" spans="2:4" ht="12.75">
      <c r="B3" s="3" t="s">
        <v>5</v>
      </c>
      <c r="C3" s="5">
        <v>12</v>
      </c>
      <c r="D3" s="1" t="s">
        <v>6</v>
      </c>
    </row>
    <row r="4" spans="2:19" ht="12.75">
      <c r="B4" s="3" t="s">
        <v>7</v>
      </c>
      <c r="C4" s="5">
        <v>3</v>
      </c>
      <c r="D4" s="6" t="s">
        <v>8</v>
      </c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4" t="s">
        <v>9</v>
      </c>
      <c r="S4" s="3" t="s">
        <v>10</v>
      </c>
    </row>
    <row r="5" spans="2:19" ht="12.75">
      <c r="B5" s="3" t="s">
        <v>11</v>
      </c>
      <c r="C5" s="5">
        <v>12</v>
      </c>
      <c r="D5" s="6" t="s">
        <v>12</v>
      </c>
      <c r="E5" s="7"/>
      <c r="F5" s="8">
        <v>120</v>
      </c>
      <c r="G5" s="8">
        <v>70</v>
      </c>
      <c r="H5" s="8">
        <v>70</v>
      </c>
      <c r="I5" s="8">
        <v>180</v>
      </c>
      <c r="J5" s="8">
        <v>60</v>
      </c>
      <c r="K5" s="8">
        <v>160</v>
      </c>
      <c r="L5" s="8">
        <v>150</v>
      </c>
      <c r="M5" s="8">
        <v>130</v>
      </c>
      <c r="N5" s="8">
        <v>80</v>
      </c>
      <c r="O5" s="8">
        <v>10</v>
      </c>
      <c r="P5" s="8">
        <v>80</v>
      </c>
      <c r="Q5" s="8">
        <v>150</v>
      </c>
      <c r="R5" s="11" t="str">
        <f>$D5</f>
        <v>P-400</v>
      </c>
      <c r="S5" s="12">
        <f>AVERAGE(PQR_MPS_Prod_1)</f>
        <v>105</v>
      </c>
    </row>
    <row r="6" spans="2:19" ht="12.75">
      <c r="B6" s="3" t="s">
        <v>13</v>
      </c>
      <c r="C6" s="4">
        <v>0.001</v>
      </c>
      <c r="D6" s="6" t="s">
        <v>14</v>
      </c>
      <c r="E6" s="7"/>
      <c r="F6" s="8">
        <v>0</v>
      </c>
      <c r="G6" s="8">
        <v>10</v>
      </c>
      <c r="H6" s="8">
        <v>70</v>
      </c>
      <c r="I6" s="8">
        <v>60</v>
      </c>
      <c r="J6" s="8">
        <v>70</v>
      </c>
      <c r="K6" s="8">
        <v>50</v>
      </c>
      <c r="L6" s="8">
        <v>40</v>
      </c>
      <c r="M6" s="8">
        <v>0</v>
      </c>
      <c r="N6" s="8">
        <v>60</v>
      </c>
      <c r="O6" s="8">
        <v>100</v>
      </c>
      <c r="P6" s="8">
        <v>30</v>
      </c>
      <c r="Q6" s="8">
        <v>10</v>
      </c>
      <c r="R6" s="11" t="str">
        <f>$D6</f>
        <v>Q-450</v>
      </c>
      <c r="S6" s="12">
        <f>AVERAGE(PQR_MPS_Prod_2)</f>
        <v>41.666666666666664</v>
      </c>
    </row>
    <row r="7" spans="4:19" ht="12.75">
      <c r="D7" s="6" t="s">
        <v>15</v>
      </c>
      <c r="E7" s="7"/>
      <c r="F7" s="8">
        <v>40</v>
      </c>
      <c r="G7" s="8">
        <v>90</v>
      </c>
      <c r="H7" s="8">
        <v>10</v>
      </c>
      <c r="I7" s="8">
        <v>30</v>
      </c>
      <c r="J7" s="8">
        <v>50</v>
      </c>
      <c r="K7" s="8">
        <v>40</v>
      </c>
      <c r="L7" s="8">
        <v>120</v>
      </c>
      <c r="M7" s="8">
        <v>50</v>
      </c>
      <c r="N7" s="8">
        <v>30</v>
      </c>
      <c r="O7" s="8">
        <v>70</v>
      </c>
      <c r="P7" s="8">
        <v>110</v>
      </c>
      <c r="Q7" s="8">
        <v>110</v>
      </c>
      <c r="R7" s="11" t="str">
        <f>$D7</f>
        <v>R-250</v>
      </c>
      <c r="S7" s="12">
        <f>AVERAGE(PQR_MPS_Prod_3)</f>
        <v>62.5</v>
      </c>
    </row>
    <row r="9" spans="1:19" ht="12.75">
      <c r="A9" s="3" t="s">
        <v>16</v>
      </c>
      <c r="B9" s="4"/>
      <c r="C9" s="8" t="s">
        <v>12</v>
      </c>
      <c r="D9" s="6" t="s">
        <v>17</v>
      </c>
      <c r="E9" s="13"/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3" t="s">
        <v>18</v>
      </c>
      <c r="S9" s="12" t="str">
        <f>$C9</f>
        <v>P-400</v>
      </c>
    </row>
    <row r="10" spans="1:19" ht="12.75">
      <c r="A10" s="3" t="s">
        <v>19</v>
      </c>
      <c r="B10" s="4"/>
      <c r="C10" s="8">
        <f>0</f>
        <v>0</v>
      </c>
      <c r="D10" s="6" t="s">
        <v>20</v>
      </c>
      <c r="E10" s="13"/>
      <c r="F10" s="10">
        <f aca="true" t="shared" si="0" ref="F10:Q10">PQR_MPS_Prod_1</f>
        <v>120</v>
      </c>
      <c r="G10" s="10">
        <f t="shared" si="0"/>
        <v>70</v>
      </c>
      <c r="H10" s="10">
        <f t="shared" si="0"/>
        <v>70</v>
      </c>
      <c r="I10" s="10">
        <f t="shared" si="0"/>
        <v>180</v>
      </c>
      <c r="J10" s="10">
        <f t="shared" si="0"/>
        <v>60</v>
      </c>
      <c r="K10" s="10">
        <f t="shared" si="0"/>
        <v>160</v>
      </c>
      <c r="L10" s="10">
        <f t="shared" si="0"/>
        <v>150</v>
      </c>
      <c r="M10" s="10">
        <f t="shared" si="0"/>
        <v>130</v>
      </c>
      <c r="N10" s="10">
        <f t="shared" si="0"/>
        <v>80</v>
      </c>
      <c r="O10" s="10">
        <f t="shared" si="0"/>
        <v>10</v>
      </c>
      <c r="P10" s="10">
        <f t="shared" si="0"/>
        <v>80</v>
      </c>
      <c r="Q10" s="10">
        <f t="shared" si="0"/>
        <v>150</v>
      </c>
      <c r="R10" s="3" t="s">
        <v>21</v>
      </c>
      <c r="S10" s="12">
        <f>PQR_MPS_Prod_D1</f>
        <v>105</v>
      </c>
    </row>
    <row r="11" spans="1:19" ht="12.75">
      <c r="A11" s="3" t="s">
        <v>22</v>
      </c>
      <c r="B11" s="8" t="s">
        <v>23</v>
      </c>
      <c r="C11" s="8">
        <v>1</v>
      </c>
      <c r="D11" s="6" t="s">
        <v>24</v>
      </c>
      <c r="E11" s="13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3" t="s">
        <v>25</v>
      </c>
      <c r="S11" s="3">
        <v>200</v>
      </c>
    </row>
    <row r="12" spans="1:19" ht="12.75">
      <c r="A12" s="3"/>
      <c r="B12" s="8">
        <v>300</v>
      </c>
      <c r="C12" s="8">
        <v>1</v>
      </c>
      <c r="D12" s="6" t="s">
        <v>26</v>
      </c>
      <c r="E12" s="17">
        <v>130</v>
      </c>
      <c r="F12" s="10">
        <f aca="true" t="shared" si="1" ref="F12:Q12">IF(E12+F11-F10&gt;0,E12+F11-F10,0)</f>
        <v>10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3" t="s">
        <v>27</v>
      </c>
      <c r="S12" s="12">
        <f>PQR_Interest*PQR_Cost1</f>
        <v>0.20500000000000002</v>
      </c>
    </row>
    <row r="13" spans="1:19" ht="12.75">
      <c r="A13" s="3"/>
      <c r="B13" s="8">
        <v>350</v>
      </c>
      <c r="C13" s="8">
        <v>1</v>
      </c>
      <c r="D13" s="6" t="s">
        <v>28</v>
      </c>
      <c r="E13" s="13"/>
      <c r="F13" s="10">
        <f aca="true" t="shared" si="2" ref="F13:Q13">IF(F12&gt;0,0,F10-F11-E12)</f>
        <v>0</v>
      </c>
      <c r="G13" s="10">
        <f t="shared" si="2"/>
        <v>60</v>
      </c>
      <c r="H13" s="10">
        <f t="shared" si="2"/>
        <v>70</v>
      </c>
      <c r="I13" s="10">
        <f t="shared" si="2"/>
        <v>180</v>
      </c>
      <c r="J13" s="10">
        <f t="shared" si="2"/>
        <v>60</v>
      </c>
      <c r="K13" s="10">
        <f t="shared" si="2"/>
        <v>160</v>
      </c>
      <c r="L13" s="10">
        <f t="shared" si="2"/>
        <v>150</v>
      </c>
      <c r="M13" s="10">
        <f t="shared" si="2"/>
        <v>130</v>
      </c>
      <c r="N13" s="10">
        <f t="shared" si="2"/>
        <v>80</v>
      </c>
      <c r="O13" s="10">
        <f t="shared" si="2"/>
        <v>10</v>
      </c>
      <c r="P13" s="10">
        <f t="shared" si="2"/>
        <v>80</v>
      </c>
      <c r="Q13" s="10">
        <f t="shared" si="2"/>
        <v>150</v>
      </c>
      <c r="R13" s="3" t="s">
        <v>29</v>
      </c>
      <c r="S13" s="12">
        <f>(SUM(PQR_Part1_WIP)+SUM(PQR_Part1_OH))/PQR_Horizon</f>
        <v>190</v>
      </c>
    </row>
    <row r="14" spans="1:19" ht="12.75">
      <c r="A14" s="3" t="s">
        <v>30</v>
      </c>
      <c r="B14" s="4"/>
      <c r="C14" s="8">
        <v>1</v>
      </c>
      <c r="D14" s="6" t="s">
        <v>31</v>
      </c>
      <c r="E14" s="13"/>
      <c r="F14" s="10">
        <f ca="1">IF(E16-F10+F11&lt;0,SUM(F13:OFFSET(F13,0,MIN(PQR_Lot1-1,PQR_Horizon-F9))),0)</f>
        <v>0</v>
      </c>
      <c r="G14" s="10">
        <f ca="1">IF(F16-G10+G11&lt;0,SUM(G13:OFFSET(G13,0,MIN(PQR_Lot1-1,PQR_Horizon-G9))),0)</f>
        <v>310</v>
      </c>
      <c r="H14" s="10">
        <f ca="1">IF(G16-H10+H11&lt;0,SUM(H13:OFFSET(H13,0,MIN(PQR_Lot1-1,PQR_Horizon-H9))),0)</f>
        <v>0</v>
      </c>
      <c r="I14" s="10">
        <f ca="1">IF(H16-I10+I11&lt;0,SUM(I13:OFFSET(I13,0,MIN(PQR_Lot1-1,PQR_Horizon-I9))),0)</f>
        <v>0</v>
      </c>
      <c r="J14" s="10">
        <f ca="1">IF(I16-J10+J11&lt;0,SUM(J13:OFFSET(J13,0,MIN(PQR_Lot1-1,PQR_Horizon-J9))),0)</f>
        <v>370</v>
      </c>
      <c r="K14" s="10">
        <f ca="1">IF(J16-K10+K11&lt;0,SUM(K13:OFFSET(K13,0,MIN(PQR_Lot1-1,PQR_Horizon-K9))),0)</f>
        <v>0</v>
      </c>
      <c r="L14" s="10">
        <f ca="1">IF(K16-L10+L11&lt;0,SUM(L13:OFFSET(L13,0,MIN(PQR_Lot1-1,PQR_Horizon-L9))),0)</f>
        <v>0</v>
      </c>
      <c r="M14" s="10">
        <f ca="1">IF(L16-M10+M11&lt;0,SUM(M13:OFFSET(M13,0,MIN(PQR_Lot1-1,PQR_Horizon-M9))),0)</f>
        <v>220</v>
      </c>
      <c r="N14" s="10">
        <f ca="1">IF(M16-N10+N11&lt;0,SUM(N13:OFFSET(N13,0,MIN(PQR_Lot1-1,PQR_Horizon-N9))),0)</f>
        <v>0</v>
      </c>
      <c r="O14" s="10">
        <f ca="1">IF(N16-O10+O11&lt;0,SUM(O13:OFFSET(O13,0,MIN(PQR_Lot1-1,PQR_Horizon-O9))),0)</f>
        <v>0</v>
      </c>
      <c r="P14" s="10">
        <f ca="1">IF(O16-P10+P11&lt;0,SUM(P13:OFFSET(P13,0,MIN(PQR_Lot1-1,PQR_Horizon-P9))),0)</f>
        <v>230</v>
      </c>
      <c r="Q14" s="10">
        <f ca="1">IF(P16-Q10+Q11&lt;0,SUM(Q13:OFFSET(Q13,0,MIN(PQR_Lot1-1,PQR_Horizon-Q9))),0)</f>
        <v>0</v>
      </c>
      <c r="R14" s="3" t="s">
        <v>32</v>
      </c>
      <c r="S14" s="12">
        <f>(COUNTIF(PQR_Part1_Rel,"&gt;0"))/PQR_Horizon</f>
        <v>0.3333333333333333</v>
      </c>
    </row>
    <row r="15" spans="1:19" ht="12.75">
      <c r="A15" s="3" t="s">
        <v>33</v>
      </c>
      <c r="B15" s="4" t="s">
        <v>34</v>
      </c>
      <c r="C15" s="8">
        <v>3</v>
      </c>
      <c r="D15" s="6" t="s">
        <v>35</v>
      </c>
      <c r="E15" s="15">
        <f>SUM(PQR_Part1_Rec)-SUM(PQR_Part1_Rel)</f>
        <v>0</v>
      </c>
      <c r="F15" s="10">
        <f>IF(F9+PQR_Lead1&lt;=PQR_Horizon,INDEX(PQR_Part1_Rec,1,F9+PQR_Lead1),0)</f>
        <v>310</v>
      </c>
      <c r="G15" s="10">
        <f aca="true" t="shared" si="3" ref="G15:Q15">IF(G9+PQR_Lead1&lt;=PQR_Horizon,INDEX(PQR_Part1_Rec,1,G9+PQR_Lead1),0)</f>
        <v>0</v>
      </c>
      <c r="H15" s="10">
        <f t="shared" si="3"/>
        <v>0</v>
      </c>
      <c r="I15" s="10">
        <f t="shared" si="3"/>
        <v>370</v>
      </c>
      <c r="J15" s="10">
        <f t="shared" si="3"/>
        <v>0</v>
      </c>
      <c r="K15" s="10">
        <f t="shared" si="3"/>
        <v>0</v>
      </c>
      <c r="L15" s="10">
        <f t="shared" si="3"/>
        <v>220</v>
      </c>
      <c r="M15" s="10">
        <f t="shared" si="3"/>
        <v>0</v>
      </c>
      <c r="N15" s="10">
        <f t="shared" si="3"/>
        <v>0</v>
      </c>
      <c r="O15" s="10">
        <f t="shared" si="3"/>
        <v>230</v>
      </c>
      <c r="P15" s="10">
        <f t="shared" si="3"/>
        <v>0</v>
      </c>
      <c r="Q15" s="10">
        <f t="shared" si="3"/>
        <v>0</v>
      </c>
      <c r="R15" s="3" t="s">
        <v>36</v>
      </c>
      <c r="S15" s="12">
        <f>S13*PQR_h1+S14*PQR_A1</f>
        <v>105.61666666666666</v>
      </c>
    </row>
    <row r="16" spans="1:19" ht="12.75">
      <c r="A16" s="3" t="s">
        <v>37</v>
      </c>
      <c r="C16" s="9">
        <v>0</v>
      </c>
      <c r="D16" s="6" t="s">
        <v>38</v>
      </c>
      <c r="E16" s="16">
        <f>E12</f>
        <v>130</v>
      </c>
      <c r="F16" s="10">
        <f aca="true" t="shared" si="4" ref="F16:Q16">E16-F10+F14+F11</f>
        <v>10</v>
      </c>
      <c r="G16" s="10">
        <f t="shared" si="4"/>
        <v>250</v>
      </c>
      <c r="H16" s="10">
        <f t="shared" si="4"/>
        <v>180</v>
      </c>
      <c r="I16" s="10">
        <f t="shared" si="4"/>
        <v>0</v>
      </c>
      <c r="J16" s="10">
        <f t="shared" si="4"/>
        <v>310</v>
      </c>
      <c r="K16" s="10">
        <f t="shared" si="4"/>
        <v>150</v>
      </c>
      <c r="L16" s="10">
        <f t="shared" si="4"/>
        <v>0</v>
      </c>
      <c r="M16" s="10">
        <f t="shared" si="4"/>
        <v>90</v>
      </c>
      <c r="N16" s="10">
        <f t="shared" si="4"/>
        <v>10</v>
      </c>
      <c r="O16" s="10">
        <f t="shared" si="4"/>
        <v>0</v>
      </c>
      <c r="P16" s="10">
        <f t="shared" si="4"/>
        <v>150</v>
      </c>
      <c r="Q16" s="10">
        <f t="shared" si="4"/>
        <v>0</v>
      </c>
      <c r="R16" s="3" t="s">
        <v>39</v>
      </c>
      <c r="S16" s="12">
        <f>ROUND(SQRT(2*PQR_Part_D1*PQR_A1/PQR_h1),0)</f>
        <v>453</v>
      </c>
    </row>
    <row r="17" spans="1:19" ht="12.75">
      <c r="A17" s="3" t="s">
        <v>40</v>
      </c>
      <c r="C17" s="10">
        <f>C16+INDEX(PQR_BOM1,1,2)*PQR_Cost4+INDEX(PQR_BOM1,2,2)*PQR_Cost5+INDEX(PQR_BOM1,3,2)*PQR_Cost6</f>
        <v>205</v>
      </c>
      <c r="D17" s="6" t="s">
        <v>41</v>
      </c>
      <c r="E17" s="15">
        <f>E15</f>
        <v>0</v>
      </c>
      <c r="F17" s="10">
        <f aca="true" t="shared" si="5" ref="F17:Q17">E17+F15-F14</f>
        <v>310</v>
      </c>
      <c r="G17" s="10">
        <f t="shared" si="5"/>
        <v>0</v>
      </c>
      <c r="H17" s="10">
        <f t="shared" si="5"/>
        <v>0</v>
      </c>
      <c r="I17" s="10">
        <f t="shared" si="5"/>
        <v>370</v>
      </c>
      <c r="J17" s="10">
        <f t="shared" si="5"/>
        <v>0</v>
      </c>
      <c r="K17" s="10">
        <f t="shared" si="5"/>
        <v>0</v>
      </c>
      <c r="L17" s="10">
        <f t="shared" si="5"/>
        <v>220</v>
      </c>
      <c r="M17" s="10">
        <f t="shared" si="5"/>
        <v>0</v>
      </c>
      <c r="N17" s="10">
        <f t="shared" si="5"/>
        <v>0</v>
      </c>
      <c r="O17" s="10">
        <f t="shared" si="5"/>
        <v>230</v>
      </c>
      <c r="P17" s="10">
        <f t="shared" si="5"/>
        <v>0</v>
      </c>
      <c r="Q17" s="10">
        <f t="shared" si="5"/>
        <v>0</v>
      </c>
      <c r="R17" s="3" t="s">
        <v>42</v>
      </c>
      <c r="S17" s="12">
        <f>MAX(1,ROUND(S16/PQR_Part_D1,0))</f>
        <v>4</v>
      </c>
    </row>
    <row r="19" spans="1:19" ht="12.75">
      <c r="A19" s="3" t="s">
        <v>16</v>
      </c>
      <c r="B19" s="4"/>
      <c r="C19" s="8" t="s">
        <v>14</v>
      </c>
      <c r="D19" s="6" t="s">
        <v>17</v>
      </c>
      <c r="E19" s="13"/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8">
        <v>7</v>
      </c>
      <c r="M19" s="8">
        <v>8</v>
      </c>
      <c r="N19" s="8">
        <v>9</v>
      </c>
      <c r="O19" s="8">
        <v>10</v>
      </c>
      <c r="P19" s="8">
        <v>11</v>
      </c>
      <c r="Q19" s="8">
        <v>12</v>
      </c>
      <c r="R19" s="3" t="s">
        <v>18</v>
      </c>
      <c r="S19" s="12" t="str">
        <f>$C19</f>
        <v>Q-450</v>
      </c>
    </row>
    <row r="20" spans="1:19" ht="12.75">
      <c r="A20" s="3" t="s">
        <v>19</v>
      </c>
      <c r="B20" s="4"/>
      <c r="C20" s="8">
        <f>0</f>
        <v>0</v>
      </c>
      <c r="D20" s="6" t="s">
        <v>20</v>
      </c>
      <c r="E20" s="13"/>
      <c r="F20" s="10">
        <f aca="true" t="shared" si="6" ref="F20:Q20">PQR_MPS_Prod_2</f>
        <v>0</v>
      </c>
      <c r="G20" s="10">
        <f t="shared" si="6"/>
        <v>10</v>
      </c>
      <c r="H20" s="10">
        <f t="shared" si="6"/>
        <v>70</v>
      </c>
      <c r="I20" s="10">
        <f t="shared" si="6"/>
        <v>60</v>
      </c>
      <c r="J20" s="10">
        <f t="shared" si="6"/>
        <v>70</v>
      </c>
      <c r="K20" s="10">
        <f t="shared" si="6"/>
        <v>50</v>
      </c>
      <c r="L20" s="10">
        <f t="shared" si="6"/>
        <v>40</v>
      </c>
      <c r="M20" s="10">
        <f t="shared" si="6"/>
        <v>0</v>
      </c>
      <c r="N20" s="10">
        <f t="shared" si="6"/>
        <v>60</v>
      </c>
      <c r="O20" s="10">
        <f t="shared" si="6"/>
        <v>100</v>
      </c>
      <c r="P20" s="10">
        <f t="shared" si="6"/>
        <v>30</v>
      </c>
      <c r="Q20" s="10">
        <f t="shared" si="6"/>
        <v>10</v>
      </c>
      <c r="R20" s="3" t="s">
        <v>21</v>
      </c>
      <c r="S20" s="12">
        <f>PQR_MPS_Prod_D2</f>
        <v>41.666666666666664</v>
      </c>
    </row>
    <row r="21" spans="1:19" ht="12.75">
      <c r="A21" s="3" t="s">
        <v>22</v>
      </c>
      <c r="B21" s="8" t="s">
        <v>15</v>
      </c>
      <c r="C21" s="8">
        <v>1</v>
      </c>
      <c r="D21" s="6" t="s">
        <v>24</v>
      </c>
      <c r="E21" s="13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" t="s">
        <v>25</v>
      </c>
      <c r="S21" s="3">
        <v>100</v>
      </c>
    </row>
    <row r="22" spans="1:19" ht="12.75">
      <c r="A22" s="3"/>
      <c r="B22" s="8">
        <v>350</v>
      </c>
      <c r="C22" s="8">
        <v>1</v>
      </c>
      <c r="D22" s="6" t="s">
        <v>26</v>
      </c>
      <c r="E22" s="14">
        <v>100</v>
      </c>
      <c r="F22" s="10">
        <f aca="true" t="shared" si="7" ref="F22:Q22">IF(E22+F21-F20&gt;0,E22+F21-F20,0)</f>
        <v>100</v>
      </c>
      <c r="G22" s="10">
        <f t="shared" si="7"/>
        <v>90</v>
      </c>
      <c r="H22" s="10">
        <f t="shared" si="7"/>
        <v>20</v>
      </c>
      <c r="I22" s="10">
        <f t="shared" si="7"/>
        <v>0</v>
      </c>
      <c r="J22" s="10">
        <f t="shared" si="7"/>
        <v>0</v>
      </c>
      <c r="K22" s="10">
        <f t="shared" si="7"/>
        <v>0</v>
      </c>
      <c r="L22" s="10">
        <f t="shared" si="7"/>
        <v>0</v>
      </c>
      <c r="M22" s="10">
        <f t="shared" si="7"/>
        <v>0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3" t="s">
        <v>27</v>
      </c>
      <c r="S22" s="12">
        <f>PQR_Interest*PQR_Cost2</f>
        <v>0.26</v>
      </c>
    </row>
    <row r="23" spans="1:19" ht="12.75">
      <c r="A23" s="3"/>
      <c r="B23" s="8"/>
      <c r="C23" s="8"/>
      <c r="D23" s="6" t="s">
        <v>28</v>
      </c>
      <c r="E23" s="13"/>
      <c r="F23" s="10">
        <f aca="true" t="shared" si="8" ref="F23:Q23">IF(F22&gt;0,0,F20-F21-E22)</f>
        <v>0</v>
      </c>
      <c r="G23" s="10">
        <f t="shared" si="8"/>
        <v>0</v>
      </c>
      <c r="H23" s="10">
        <f t="shared" si="8"/>
        <v>0</v>
      </c>
      <c r="I23" s="10">
        <f t="shared" si="8"/>
        <v>40</v>
      </c>
      <c r="J23" s="10">
        <f t="shared" si="8"/>
        <v>70</v>
      </c>
      <c r="K23" s="10">
        <f t="shared" si="8"/>
        <v>50</v>
      </c>
      <c r="L23" s="10">
        <f t="shared" si="8"/>
        <v>40</v>
      </c>
      <c r="M23" s="10">
        <f t="shared" si="8"/>
        <v>0</v>
      </c>
      <c r="N23" s="10">
        <f t="shared" si="8"/>
        <v>60</v>
      </c>
      <c r="O23" s="10">
        <f t="shared" si="8"/>
        <v>100</v>
      </c>
      <c r="P23" s="10">
        <f t="shared" si="8"/>
        <v>30</v>
      </c>
      <c r="Q23" s="10">
        <f t="shared" si="8"/>
        <v>10</v>
      </c>
      <c r="R23" s="3" t="s">
        <v>29</v>
      </c>
      <c r="S23" s="12">
        <f>(SUM(PQR_Part2_WIP)+SUM(PQR_Part2_OH))/PQR_Horizon</f>
        <v>79.16666666666667</v>
      </c>
    </row>
    <row r="24" spans="1:19" ht="12.75">
      <c r="A24" s="3" t="s">
        <v>30</v>
      </c>
      <c r="B24" s="4"/>
      <c r="C24" s="8">
        <v>1</v>
      </c>
      <c r="D24" s="6" t="s">
        <v>31</v>
      </c>
      <c r="E24" s="13"/>
      <c r="F24" s="10">
        <f ca="1">IF(E26-F20+F21&lt;0,SUM(F23:OFFSET(F23,0,MIN(PQR_Lot2-1,PQR_Horizon-F19))),0)</f>
        <v>0</v>
      </c>
      <c r="G24" s="10">
        <f ca="1">IF(F26-G20+G21&lt;0,SUM(G23:OFFSET(G23,0,MIN(PQR_Lot2-1,PQR_Horizon-G19))),0)</f>
        <v>0</v>
      </c>
      <c r="H24" s="10">
        <f ca="1">IF(G26-H20+H21&lt;0,SUM(H23:OFFSET(H23,0,MIN(PQR_Lot2-1,PQR_Horizon-H19))),0)</f>
        <v>0</v>
      </c>
      <c r="I24" s="10">
        <f ca="1">IF(H26-I20+I21&lt;0,SUM(I23:OFFSET(I23,0,MIN(PQR_Lot2-1,PQR_Horizon-I19))),0)</f>
        <v>160</v>
      </c>
      <c r="J24" s="10">
        <f ca="1">IF(I26-J20+J21&lt;0,SUM(J23:OFFSET(J23,0,MIN(PQR_Lot2-1,PQR_Horizon-J19))),0)</f>
        <v>0</v>
      </c>
      <c r="K24" s="10">
        <f ca="1">IF(J26-K20+K21&lt;0,SUM(K23:OFFSET(K23,0,MIN(PQR_Lot2-1,PQR_Horizon-K19))),0)</f>
        <v>0</v>
      </c>
      <c r="L24" s="10">
        <f ca="1">IF(K26-L20+L21&lt;0,SUM(L23:OFFSET(L23,0,MIN(PQR_Lot2-1,PQR_Horizon-L19))),0)</f>
        <v>100</v>
      </c>
      <c r="M24" s="10">
        <f ca="1">IF(L26-M20+M21&lt;0,SUM(M23:OFFSET(M23,0,MIN(PQR_Lot2-1,PQR_Horizon-M19))),0)</f>
        <v>0</v>
      </c>
      <c r="N24" s="10">
        <f ca="1">IF(M26-N20+N21&lt;0,SUM(N23:OFFSET(N23,0,MIN(PQR_Lot2-1,PQR_Horizon-N19))),0)</f>
        <v>0</v>
      </c>
      <c r="O24" s="10">
        <f ca="1">IF(N26-O20+O21&lt;0,SUM(O23:OFFSET(O23,0,MIN(PQR_Lot2-1,PQR_Horizon-O19))),0)</f>
        <v>140</v>
      </c>
      <c r="P24" s="10">
        <f ca="1">IF(O26-P20+P21&lt;0,SUM(P23:OFFSET(P23,0,MIN(PQR_Lot2-1,PQR_Horizon-P19))),0)</f>
        <v>0</v>
      </c>
      <c r="Q24" s="10">
        <f ca="1">IF(P26-Q20+Q21&lt;0,SUM(Q23:OFFSET(Q23,0,MIN(PQR_Lot2-1,PQR_Horizon-Q19))),0)</f>
        <v>0</v>
      </c>
      <c r="R24" s="3" t="s">
        <v>32</v>
      </c>
      <c r="S24" s="12">
        <f>(COUNTIF(PQR_Part2_Rel,"&gt;0"))/PQR_Horizon</f>
        <v>0.25</v>
      </c>
    </row>
    <row r="25" spans="1:19" ht="12.75">
      <c r="A25" s="3" t="s">
        <v>33</v>
      </c>
      <c r="B25" s="4" t="s">
        <v>34</v>
      </c>
      <c r="C25" s="8">
        <v>3</v>
      </c>
      <c r="D25" s="6" t="s">
        <v>35</v>
      </c>
      <c r="E25" s="15">
        <f>SUM(PQR_Part2_Rec)-SUM(PQR_Part2_Rel)</f>
        <v>0</v>
      </c>
      <c r="F25" s="10">
        <f>IF(F19+PQR_Lead2&lt;=PQR_Horizon,INDEX(PQR_Part2_Rec,1,F19+PQR_Lead2),0)</f>
        <v>0</v>
      </c>
      <c r="G25" s="10">
        <f aca="true" t="shared" si="9" ref="G25:Q25">IF(G19+PQR_Lead2&lt;=PQR_Horizon,INDEX(PQR_Part2_Rec,1,G19+PQR_Lead2),0)</f>
        <v>0</v>
      </c>
      <c r="H25" s="10">
        <f t="shared" si="9"/>
        <v>160</v>
      </c>
      <c r="I25" s="10">
        <f t="shared" si="9"/>
        <v>0</v>
      </c>
      <c r="J25" s="10">
        <f t="shared" si="9"/>
        <v>0</v>
      </c>
      <c r="K25" s="10">
        <f t="shared" si="9"/>
        <v>100</v>
      </c>
      <c r="L25" s="10">
        <f t="shared" si="9"/>
        <v>0</v>
      </c>
      <c r="M25" s="10">
        <f t="shared" si="9"/>
        <v>0</v>
      </c>
      <c r="N25" s="10">
        <f t="shared" si="9"/>
        <v>140</v>
      </c>
      <c r="O25" s="10">
        <f t="shared" si="9"/>
        <v>0</v>
      </c>
      <c r="P25" s="10">
        <f t="shared" si="9"/>
        <v>0</v>
      </c>
      <c r="Q25" s="10">
        <f t="shared" si="9"/>
        <v>0</v>
      </c>
      <c r="R25" s="3" t="s">
        <v>36</v>
      </c>
      <c r="S25" s="12">
        <f>S23*PQR_h2+S24*PQR_A2</f>
        <v>45.583333333333336</v>
      </c>
    </row>
    <row r="26" spans="1:19" ht="12.75">
      <c r="A26" s="3" t="s">
        <v>37</v>
      </c>
      <c r="C26" s="9">
        <v>0</v>
      </c>
      <c r="D26" s="6" t="s">
        <v>38</v>
      </c>
      <c r="E26" s="16">
        <f>E22</f>
        <v>100</v>
      </c>
      <c r="F26" s="10">
        <f aca="true" t="shared" si="10" ref="F26:Q26">E26-F20+F24+F21</f>
        <v>100</v>
      </c>
      <c r="G26" s="10">
        <f t="shared" si="10"/>
        <v>90</v>
      </c>
      <c r="H26" s="10">
        <f t="shared" si="10"/>
        <v>20</v>
      </c>
      <c r="I26" s="10">
        <f t="shared" si="10"/>
        <v>120</v>
      </c>
      <c r="J26" s="10">
        <f t="shared" si="10"/>
        <v>50</v>
      </c>
      <c r="K26" s="10">
        <f t="shared" si="10"/>
        <v>0</v>
      </c>
      <c r="L26" s="10">
        <f t="shared" si="10"/>
        <v>60</v>
      </c>
      <c r="M26" s="10">
        <f t="shared" si="10"/>
        <v>60</v>
      </c>
      <c r="N26" s="10">
        <f t="shared" si="10"/>
        <v>0</v>
      </c>
      <c r="O26" s="10">
        <f t="shared" si="10"/>
        <v>40</v>
      </c>
      <c r="P26" s="10">
        <f t="shared" si="10"/>
        <v>10</v>
      </c>
      <c r="Q26" s="10">
        <f t="shared" si="10"/>
        <v>0</v>
      </c>
      <c r="R26" s="3" t="s">
        <v>39</v>
      </c>
      <c r="S26" s="12">
        <f>ROUND(SQRT(2*PQR_Part_D2*PQR_A2/PQR_h2),0)</f>
        <v>179</v>
      </c>
    </row>
    <row r="27" spans="1:19" ht="12.75">
      <c r="A27" s="3" t="s">
        <v>40</v>
      </c>
      <c r="C27" s="10">
        <f>C26+INDEX(PQR_BOM2,1,2)*PQR_Cost3+INDEX(PQR_BOM2,2,2)*PQR_Cost6</f>
        <v>260</v>
      </c>
      <c r="D27" s="6" t="s">
        <v>41</v>
      </c>
      <c r="E27" s="15">
        <f>E25</f>
        <v>0</v>
      </c>
      <c r="F27" s="10">
        <f aca="true" t="shared" si="11" ref="F27:Q27">E27+F25-F24</f>
        <v>0</v>
      </c>
      <c r="G27" s="10">
        <f t="shared" si="11"/>
        <v>0</v>
      </c>
      <c r="H27" s="10">
        <f t="shared" si="11"/>
        <v>160</v>
      </c>
      <c r="I27" s="10">
        <f t="shared" si="11"/>
        <v>0</v>
      </c>
      <c r="J27" s="10">
        <f t="shared" si="11"/>
        <v>0</v>
      </c>
      <c r="K27" s="10">
        <f t="shared" si="11"/>
        <v>100</v>
      </c>
      <c r="L27" s="10">
        <f t="shared" si="11"/>
        <v>0</v>
      </c>
      <c r="M27" s="10">
        <f t="shared" si="11"/>
        <v>0</v>
      </c>
      <c r="N27" s="10">
        <f t="shared" si="11"/>
        <v>140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3" t="s">
        <v>42</v>
      </c>
      <c r="S27" s="12">
        <f>MAX(1,ROUND(S26/PQR_Part_D2,0))</f>
        <v>4</v>
      </c>
    </row>
    <row r="29" spans="1:19" ht="12.75">
      <c r="A29" s="3" t="s">
        <v>16</v>
      </c>
      <c r="C29" s="8" t="s">
        <v>15</v>
      </c>
      <c r="D29" s="6" t="s">
        <v>17</v>
      </c>
      <c r="E29" s="13"/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>
        <v>11</v>
      </c>
      <c r="Q29" s="8">
        <v>12</v>
      </c>
      <c r="R29" s="3" t="s">
        <v>18</v>
      </c>
      <c r="S29" s="12" t="str">
        <f>$C29</f>
        <v>R-250</v>
      </c>
    </row>
    <row r="30" spans="1:19" ht="12.75">
      <c r="A30" s="3" t="s">
        <v>19</v>
      </c>
      <c r="C30" s="8">
        <f>MAX(PQR_Level2)+1</f>
        <v>1</v>
      </c>
      <c r="D30" s="6" t="s">
        <v>20</v>
      </c>
      <c r="E30" s="13"/>
      <c r="F30" s="10">
        <f aca="true" t="shared" si="12" ref="F30:Q30">PQR_MPS_Prod_3+INDEX(PQR_BOM2,1,2)*PQR_Part2_Rel</f>
        <v>40</v>
      </c>
      <c r="G30" s="10">
        <f t="shared" si="12"/>
        <v>90</v>
      </c>
      <c r="H30" s="10">
        <f t="shared" si="12"/>
        <v>170</v>
      </c>
      <c r="I30" s="10">
        <f t="shared" si="12"/>
        <v>30</v>
      </c>
      <c r="J30" s="10">
        <f t="shared" si="12"/>
        <v>50</v>
      </c>
      <c r="K30" s="10">
        <f t="shared" si="12"/>
        <v>140</v>
      </c>
      <c r="L30" s="10">
        <f t="shared" si="12"/>
        <v>120</v>
      </c>
      <c r="M30" s="10">
        <f t="shared" si="12"/>
        <v>50</v>
      </c>
      <c r="N30" s="10">
        <f t="shared" si="12"/>
        <v>170</v>
      </c>
      <c r="O30" s="10">
        <f t="shared" si="12"/>
        <v>70</v>
      </c>
      <c r="P30" s="10">
        <f t="shared" si="12"/>
        <v>110</v>
      </c>
      <c r="Q30" s="10">
        <f t="shared" si="12"/>
        <v>110</v>
      </c>
      <c r="R30" s="3" t="s">
        <v>21</v>
      </c>
      <c r="S30" s="12">
        <f>PQR_MPS_Prod_D3+INDEX(PQR_BOM2,1,2)*PQR_Part_D2</f>
        <v>104.16666666666666</v>
      </c>
    </row>
    <row r="31" spans="1:19" ht="12.75">
      <c r="A31" s="3" t="s">
        <v>22</v>
      </c>
      <c r="B31" s="8">
        <v>200</v>
      </c>
      <c r="C31" s="8">
        <v>2</v>
      </c>
      <c r="D31" s="6" t="s">
        <v>24</v>
      </c>
      <c r="E31" s="13"/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3" t="s">
        <v>25</v>
      </c>
      <c r="S31" s="3">
        <v>100</v>
      </c>
    </row>
    <row r="32" spans="1:19" ht="12.75">
      <c r="A32" s="3"/>
      <c r="B32" s="8">
        <v>150</v>
      </c>
      <c r="C32" s="8">
        <v>1</v>
      </c>
      <c r="D32" s="6" t="s">
        <v>26</v>
      </c>
      <c r="E32" s="17">
        <v>150</v>
      </c>
      <c r="F32" s="10">
        <f aca="true" t="shared" si="13" ref="F32:Q32">IF(E32+F31-F30&gt;0,E32+F31-F30,0)</f>
        <v>110</v>
      </c>
      <c r="G32" s="10">
        <f t="shared" si="13"/>
        <v>20</v>
      </c>
      <c r="H32" s="10">
        <f t="shared" si="13"/>
        <v>0</v>
      </c>
      <c r="I32" s="10">
        <f t="shared" si="13"/>
        <v>0</v>
      </c>
      <c r="J32" s="10">
        <f t="shared" si="13"/>
        <v>0</v>
      </c>
      <c r="K32" s="10">
        <f t="shared" si="13"/>
        <v>0</v>
      </c>
      <c r="L32" s="10">
        <f t="shared" si="13"/>
        <v>0</v>
      </c>
      <c r="M32" s="10">
        <f t="shared" si="13"/>
        <v>0</v>
      </c>
      <c r="N32" s="10">
        <f t="shared" si="13"/>
        <v>0</v>
      </c>
      <c r="O32" s="10">
        <f t="shared" si="13"/>
        <v>0</v>
      </c>
      <c r="P32" s="10">
        <f t="shared" si="13"/>
        <v>0</v>
      </c>
      <c r="Q32" s="10">
        <f t="shared" si="13"/>
        <v>0</v>
      </c>
      <c r="R32" s="3" t="s">
        <v>27</v>
      </c>
      <c r="S32" s="12">
        <f>PQR_Interest*PQR_Cost3</f>
        <v>0.2</v>
      </c>
    </row>
    <row r="33" spans="1:19" ht="12.75">
      <c r="A33" s="3"/>
      <c r="B33" s="9" t="s">
        <v>43</v>
      </c>
      <c r="C33" s="8"/>
      <c r="D33" s="6" t="s">
        <v>28</v>
      </c>
      <c r="E33" s="13"/>
      <c r="F33" s="10">
        <f aca="true" t="shared" si="14" ref="F33:Q33">IF(F32&gt;0,0,F30-F31-E32)</f>
        <v>0</v>
      </c>
      <c r="G33" s="10">
        <f t="shared" si="14"/>
        <v>0</v>
      </c>
      <c r="H33" s="10">
        <f t="shared" si="14"/>
        <v>150</v>
      </c>
      <c r="I33" s="10">
        <f t="shared" si="14"/>
        <v>30</v>
      </c>
      <c r="J33" s="10">
        <f t="shared" si="14"/>
        <v>50</v>
      </c>
      <c r="K33" s="10">
        <f t="shared" si="14"/>
        <v>140</v>
      </c>
      <c r="L33" s="10">
        <f t="shared" si="14"/>
        <v>120</v>
      </c>
      <c r="M33" s="10">
        <f t="shared" si="14"/>
        <v>50</v>
      </c>
      <c r="N33" s="10">
        <f t="shared" si="14"/>
        <v>170</v>
      </c>
      <c r="O33" s="10">
        <f t="shared" si="14"/>
        <v>70</v>
      </c>
      <c r="P33" s="10">
        <f t="shared" si="14"/>
        <v>110</v>
      </c>
      <c r="Q33" s="10">
        <f t="shared" si="14"/>
        <v>110</v>
      </c>
      <c r="R33" s="3" t="s">
        <v>29</v>
      </c>
      <c r="S33" s="12">
        <f>(SUM(PQR_Part3_WIP)+SUM(PQR_Part3_OH))/PQR_Horizon</f>
        <v>147.5</v>
      </c>
    </row>
    <row r="34" spans="1:19" ht="12.75">
      <c r="A34" s="3" t="s">
        <v>30</v>
      </c>
      <c r="C34" s="8">
        <v>1</v>
      </c>
      <c r="D34" s="6" t="s">
        <v>31</v>
      </c>
      <c r="E34" s="13"/>
      <c r="F34" s="10">
        <f ca="1">IF(E36-F30+F31&lt;0,SUM(F33:OFFSET(F33,0,MIN(PQR_Lot3-1,PQR_Horizon-F29))),0)</f>
        <v>0</v>
      </c>
      <c r="G34" s="10">
        <f ca="1">IF(F36-G30+G31&lt;0,SUM(G33:OFFSET(G33,0,MIN(PQR_Lot3-1,PQR_Horizon-G29))),0)</f>
        <v>0</v>
      </c>
      <c r="H34" s="10">
        <f ca="1">IF(G36-H30+H31&lt;0,SUM(H33:OFFSET(H33,0,MIN(PQR_Lot3-1,PQR_Horizon-H29))),0)</f>
        <v>230</v>
      </c>
      <c r="I34" s="10">
        <f ca="1">IF(H36-I30+I31&lt;0,SUM(I33:OFFSET(I33,0,MIN(PQR_Lot3-1,PQR_Horizon-I29))),0)</f>
        <v>0</v>
      </c>
      <c r="J34" s="10">
        <f ca="1">IF(I36-J30+J31&lt;0,SUM(J33:OFFSET(J33,0,MIN(PQR_Lot3-1,PQR_Horizon-J29))),0)</f>
        <v>0</v>
      </c>
      <c r="K34" s="10">
        <f ca="1">IF(J36-K30+K31&lt;0,SUM(K33:OFFSET(K33,0,MIN(PQR_Lot3-1,PQR_Horizon-K29))),0)</f>
        <v>310</v>
      </c>
      <c r="L34" s="10">
        <f ca="1">IF(K36-L30+L31&lt;0,SUM(L33:OFFSET(L33,0,MIN(PQR_Lot3-1,PQR_Horizon-L29))),0)</f>
        <v>0</v>
      </c>
      <c r="M34" s="10">
        <f ca="1">IF(L36-M30+M31&lt;0,SUM(M33:OFFSET(M33,0,MIN(PQR_Lot3-1,PQR_Horizon-M29))),0)</f>
        <v>0</v>
      </c>
      <c r="N34" s="10">
        <f ca="1">IF(M36-N30+N31&lt;0,SUM(N33:OFFSET(N33,0,MIN(PQR_Lot3-1,PQR_Horizon-N29))),0)</f>
        <v>350</v>
      </c>
      <c r="O34" s="10">
        <f ca="1">IF(N36-O30+O31&lt;0,SUM(O33:OFFSET(O33,0,MIN(PQR_Lot3-1,PQR_Horizon-O29))),0)</f>
        <v>0</v>
      </c>
      <c r="P34" s="10">
        <f ca="1">IF(O36-P30+P31&lt;0,SUM(P33:OFFSET(P33,0,MIN(PQR_Lot3-1,PQR_Horizon-P29))),0)</f>
        <v>0</v>
      </c>
      <c r="Q34" s="10">
        <f ca="1">IF(P36-Q30+Q31&lt;0,SUM(Q33:OFFSET(Q33,0,MIN(PQR_Lot3-1,PQR_Horizon-Q29))),0)</f>
        <v>110</v>
      </c>
      <c r="R34" s="3" t="s">
        <v>32</v>
      </c>
      <c r="S34" s="12">
        <f>(COUNTIF(PQR_Part3_Rel,"&gt;0"))/PQR_Horizon</f>
        <v>0.3333333333333333</v>
      </c>
    </row>
    <row r="35" spans="1:19" ht="12.75">
      <c r="A35" s="3" t="s">
        <v>33</v>
      </c>
      <c r="B35" s="9" t="s">
        <v>44</v>
      </c>
      <c r="C35" s="8">
        <v>3</v>
      </c>
      <c r="D35" s="6" t="s">
        <v>35</v>
      </c>
      <c r="E35" s="15">
        <f>SUM(PQR_Part3_Rec)-SUM(PQR_Part3_Rel)</f>
        <v>0</v>
      </c>
      <c r="F35" s="10">
        <f>IF(F29+PQR_Lead3&lt;=PQR_Horizon,INDEX(PQR_Part3_Rec,1,F29+PQR_Lead3),0)</f>
        <v>0</v>
      </c>
      <c r="G35" s="10">
        <f aca="true" t="shared" si="15" ref="G35:Q35">IF(G29+PQR_Lead3&lt;=PQR_Horizon,INDEX(PQR_Part3_Rec,1,G29+PQR_Lead3),0)</f>
        <v>230</v>
      </c>
      <c r="H35" s="10">
        <f t="shared" si="15"/>
        <v>0</v>
      </c>
      <c r="I35" s="10">
        <f t="shared" si="15"/>
        <v>0</v>
      </c>
      <c r="J35" s="10">
        <f t="shared" si="15"/>
        <v>310</v>
      </c>
      <c r="K35" s="10">
        <f t="shared" si="15"/>
        <v>0</v>
      </c>
      <c r="L35" s="10">
        <f t="shared" si="15"/>
        <v>0</v>
      </c>
      <c r="M35" s="10">
        <f t="shared" si="15"/>
        <v>350</v>
      </c>
      <c r="N35" s="10">
        <f t="shared" si="15"/>
        <v>0</v>
      </c>
      <c r="O35" s="10">
        <f t="shared" si="15"/>
        <v>0</v>
      </c>
      <c r="P35" s="10">
        <f t="shared" si="15"/>
        <v>110</v>
      </c>
      <c r="Q35" s="10">
        <f t="shared" si="15"/>
        <v>0</v>
      </c>
      <c r="R35" s="3" t="s">
        <v>36</v>
      </c>
      <c r="S35" s="12">
        <f>S33*PQR_h3+S34*PQR_A3</f>
        <v>62.83333333333333</v>
      </c>
    </row>
    <row r="36" spans="1:19" ht="12.75">
      <c r="A36" s="3" t="s">
        <v>37</v>
      </c>
      <c r="C36" s="9">
        <v>0</v>
      </c>
      <c r="D36" s="6" t="s">
        <v>38</v>
      </c>
      <c r="E36" s="16">
        <f>E32</f>
        <v>150</v>
      </c>
      <c r="F36" s="10">
        <f aca="true" t="shared" si="16" ref="F36:Q36">E36-F30+F34+F31</f>
        <v>110</v>
      </c>
      <c r="G36" s="10">
        <f t="shared" si="16"/>
        <v>20</v>
      </c>
      <c r="H36" s="10">
        <f t="shared" si="16"/>
        <v>80</v>
      </c>
      <c r="I36" s="10">
        <f t="shared" si="16"/>
        <v>50</v>
      </c>
      <c r="J36" s="10">
        <f t="shared" si="16"/>
        <v>0</v>
      </c>
      <c r="K36" s="10">
        <f t="shared" si="16"/>
        <v>170</v>
      </c>
      <c r="L36" s="10">
        <f t="shared" si="16"/>
        <v>50</v>
      </c>
      <c r="M36" s="10">
        <f t="shared" si="16"/>
        <v>0</v>
      </c>
      <c r="N36" s="10">
        <f t="shared" si="16"/>
        <v>180</v>
      </c>
      <c r="O36" s="10">
        <f t="shared" si="16"/>
        <v>110</v>
      </c>
      <c r="P36" s="10">
        <f t="shared" si="16"/>
        <v>0</v>
      </c>
      <c r="Q36" s="10">
        <f t="shared" si="16"/>
        <v>0</v>
      </c>
      <c r="R36" s="3" t="s">
        <v>39</v>
      </c>
      <c r="S36" s="12">
        <f>ROUND(SQRT(2*PQR_Part_D3*PQR_A3/PQR_h3),0)</f>
        <v>323</v>
      </c>
    </row>
    <row r="37" spans="1:19" ht="12.75">
      <c r="A37" s="3" t="s">
        <v>40</v>
      </c>
      <c r="C37" s="10">
        <f>C36+INDEX(PQR_BOM3,1,2)*PQR_Cost8+INDEX(PQR_BOM3,2,2)*PQR_Cost9</f>
        <v>200</v>
      </c>
      <c r="D37" s="6" t="s">
        <v>41</v>
      </c>
      <c r="E37" s="15">
        <f>E35</f>
        <v>0</v>
      </c>
      <c r="F37" s="10">
        <f aca="true" t="shared" si="17" ref="F37:Q37">E37+F35-F34</f>
        <v>0</v>
      </c>
      <c r="G37" s="10">
        <f t="shared" si="17"/>
        <v>230</v>
      </c>
      <c r="H37" s="10">
        <f t="shared" si="17"/>
        <v>0</v>
      </c>
      <c r="I37" s="10">
        <f t="shared" si="17"/>
        <v>0</v>
      </c>
      <c r="J37" s="10">
        <f t="shared" si="17"/>
        <v>310</v>
      </c>
      <c r="K37" s="10">
        <f t="shared" si="17"/>
        <v>0</v>
      </c>
      <c r="L37" s="10">
        <f t="shared" si="17"/>
        <v>0</v>
      </c>
      <c r="M37" s="10">
        <f t="shared" si="17"/>
        <v>350</v>
      </c>
      <c r="N37" s="10">
        <f t="shared" si="17"/>
        <v>0</v>
      </c>
      <c r="O37" s="10">
        <f t="shared" si="17"/>
        <v>0</v>
      </c>
      <c r="P37" s="10">
        <f t="shared" si="17"/>
        <v>110</v>
      </c>
      <c r="Q37" s="10">
        <f t="shared" si="17"/>
        <v>0</v>
      </c>
      <c r="R37" s="3" t="s">
        <v>42</v>
      </c>
      <c r="S37" s="12">
        <f>MAX(1,ROUND(S36/PQR_Part_D3,0))</f>
        <v>3</v>
      </c>
    </row>
    <row r="39" spans="1:19" ht="12.75">
      <c r="A39" s="3" t="s">
        <v>16</v>
      </c>
      <c r="C39" s="8" t="s">
        <v>23</v>
      </c>
      <c r="D39" s="6" t="s">
        <v>17</v>
      </c>
      <c r="E39" s="13"/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8">
        <v>7</v>
      </c>
      <c r="M39" s="8">
        <v>8</v>
      </c>
      <c r="N39" s="8">
        <v>9</v>
      </c>
      <c r="O39" s="8">
        <v>10</v>
      </c>
      <c r="P39" s="8">
        <v>11</v>
      </c>
      <c r="Q39" s="8">
        <v>12</v>
      </c>
      <c r="R39" s="3" t="s">
        <v>18</v>
      </c>
      <c r="S39" s="12" t="str">
        <f>$C39</f>
        <v>PP</v>
      </c>
    </row>
    <row r="40" spans="1:19" ht="12.75">
      <c r="A40" s="3" t="s">
        <v>19</v>
      </c>
      <c r="C40" s="8">
        <f>MAX(PQR_Level1)+1</f>
        <v>1</v>
      </c>
      <c r="D40" s="6" t="s">
        <v>20</v>
      </c>
      <c r="E40" s="13"/>
      <c r="F40" s="10">
        <f aca="true" t="shared" si="18" ref="F40:Q40">INDEX(PQR_BOM1,1,2)*PQR_Part1_Rel</f>
        <v>310</v>
      </c>
      <c r="G40" s="10">
        <f t="shared" si="18"/>
        <v>0</v>
      </c>
      <c r="H40" s="10">
        <f t="shared" si="18"/>
        <v>0</v>
      </c>
      <c r="I40" s="10">
        <f t="shared" si="18"/>
        <v>370</v>
      </c>
      <c r="J40" s="10">
        <f t="shared" si="18"/>
        <v>0</v>
      </c>
      <c r="K40" s="10">
        <f t="shared" si="18"/>
        <v>0</v>
      </c>
      <c r="L40" s="10">
        <f t="shared" si="18"/>
        <v>220</v>
      </c>
      <c r="M40" s="10">
        <f t="shared" si="18"/>
        <v>0</v>
      </c>
      <c r="N40" s="10">
        <f t="shared" si="18"/>
        <v>0</v>
      </c>
      <c r="O40" s="10">
        <f t="shared" si="18"/>
        <v>230</v>
      </c>
      <c r="P40" s="10">
        <f t="shared" si="18"/>
        <v>0</v>
      </c>
      <c r="Q40" s="10">
        <f t="shared" si="18"/>
        <v>0</v>
      </c>
      <c r="R40" s="3" t="s">
        <v>21</v>
      </c>
      <c r="S40" s="12">
        <f>INDEX(PQR_BOM1,1,2)*PQR_Part_D1</f>
        <v>105</v>
      </c>
    </row>
    <row r="41" spans="1:19" ht="12.75">
      <c r="A41" s="3" t="s">
        <v>22</v>
      </c>
      <c r="B41" s="9" t="s">
        <v>43</v>
      </c>
      <c r="C41" s="8"/>
      <c r="D41" s="6" t="s">
        <v>24</v>
      </c>
      <c r="E41" s="13"/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3" t="s">
        <v>25</v>
      </c>
      <c r="S41" s="3">
        <v>500</v>
      </c>
    </row>
    <row r="42" spans="1:19" ht="12.75">
      <c r="A42" s="3"/>
      <c r="B42" s="9" t="s">
        <v>43</v>
      </c>
      <c r="C42" s="8"/>
      <c r="D42" s="6" t="s">
        <v>26</v>
      </c>
      <c r="E42" s="17">
        <v>310</v>
      </c>
      <c r="F42" s="10">
        <f aca="true" t="shared" si="19" ref="F42:Q42">IF(E42+F41-F40&gt;0,E42+F41-F40,0)</f>
        <v>0</v>
      </c>
      <c r="G42" s="10">
        <f t="shared" si="19"/>
        <v>0</v>
      </c>
      <c r="H42" s="10">
        <f t="shared" si="19"/>
        <v>0</v>
      </c>
      <c r="I42" s="10">
        <f t="shared" si="19"/>
        <v>0</v>
      </c>
      <c r="J42" s="10">
        <f t="shared" si="19"/>
        <v>0</v>
      </c>
      <c r="K42" s="10">
        <f t="shared" si="19"/>
        <v>0</v>
      </c>
      <c r="L42" s="10">
        <f t="shared" si="19"/>
        <v>0</v>
      </c>
      <c r="M42" s="10">
        <f t="shared" si="19"/>
        <v>0</v>
      </c>
      <c r="N42" s="10">
        <f t="shared" si="19"/>
        <v>0</v>
      </c>
      <c r="O42" s="10">
        <f t="shared" si="19"/>
        <v>0</v>
      </c>
      <c r="P42" s="10">
        <f t="shared" si="19"/>
        <v>0</v>
      </c>
      <c r="Q42" s="10">
        <f t="shared" si="19"/>
        <v>0</v>
      </c>
      <c r="R42" s="3" t="s">
        <v>27</v>
      </c>
      <c r="S42" s="12">
        <f>PQR_Interest*PQR_Cost4</f>
        <v>0.005</v>
      </c>
    </row>
    <row r="43" spans="1:19" ht="12.75">
      <c r="A43" s="3"/>
      <c r="B43" s="9" t="s">
        <v>43</v>
      </c>
      <c r="C43" s="8"/>
      <c r="D43" s="6" t="s">
        <v>28</v>
      </c>
      <c r="E43" s="13"/>
      <c r="F43" s="10">
        <f aca="true" t="shared" si="20" ref="F43:Q43">IF(F42&gt;0,0,F40-F41-E42)</f>
        <v>0</v>
      </c>
      <c r="G43" s="10">
        <f t="shared" si="20"/>
        <v>0</v>
      </c>
      <c r="H43" s="10">
        <f t="shared" si="20"/>
        <v>0</v>
      </c>
      <c r="I43" s="10">
        <f t="shared" si="20"/>
        <v>370</v>
      </c>
      <c r="J43" s="10">
        <f t="shared" si="20"/>
        <v>0</v>
      </c>
      <c r="K43" s="10">
        <f t="shared" si="20"/>
        <v>0</v>
      </c>
      <c r="L43" s="10">
        <f t="shared" si="20"/>
        <v>220</v>
      </c>
      <c r="M43" s="10">
        <f t="shared" si="20"/>
        <v>0</v>
      </c>
      <c r="N43" s="10">
        <f t="shared" si="20"/>
        <v>0</v>
      </c>
      <c r="O43" s="10">
        <f t="shared" si="20"/>
        <v>230</v>
      </c>
      <c r="P43" s="10">
        <f t="shared" si="20"/>
        <v>0</v>
      </c>
      <c r="Q43" s="10">
        <f t="shared" si="20"/>
        <v>0</v>
      </c>
      <c r="R43" s="3" t="s">
        <v>29</v>
      </c>
      <c r="S43" s="12">
        <f>(SUM(PQR_Part4_WIP)+SUM(PQR_Part4_OH))/PQR_Horizon</f>
        <v>68.33333333333333</v>
      </c>
    </row>
    <row r="44" spans="1:19" ht="12.75">
      <c r="A44" s="3" t="s">
        <v>30</v>
      </c>
      <c r="C44" s="8">
        <v>1</v>
      </c>
      <c r="D44" s="6" t="s">
        <v>31</v>
      </c>
      <c r="E44" s="13"/>
      <c r="F44" s="10">
        <f aca="true" t="shared" si="21" ref="F44:Q44">F43</f>
        <v>0</v>
      </c>
      <c r="G44" s="10">
        <f t="shared" si="21"/>
        <v>0</v>
      </c>
      <c r="H44" s="10">
        <f t="shared" si="21"/>
        <v>0</v>
      </c>
      <c r="I44" s="10">
        <f t="shared" si="21"/>
        <v>370</v>
      </c>
      <c r="J44" s="10">
        <f t="shared" si="21"/>
        <v>0</v>
      </c>
      <c r="K44" s="10">
        <f t="shared" si="21"/>
        <v>0</v>
      </c>
      <c r="L44" s="10">
        <f t="shared" si="21"/>
        <v>220</v>
      </c>
      <c r="M44" s="10">
        <f t="shared" si="21"/>
        <v>0</v>
      </c>
      <c r="N44" s="10">
        <f t="shared" si="21"/>
        <v>0</v>
      </c>
      <c r="O44" s="10">
        <f t="shared" si="21"/>
        <v>230</v>
      </c>
      <c r="P44" s="10">
        <f t="shared" si="21"/>
        <v>0</v>
      </c>
      <c r="Q44" s="10">
        <f t="shared" si="21"/>
        <v>0</v>
      </c>
      <c r="R44" s="3" t="s">
        <v>32</v>
      </c>
      <c r="S44" s="12">
        <f>(COUNTIF(PQR_Part4_Rel,"&gt;0"))/PQR_Horizon</f>
        <v>0.25</v>
      </c>
    </row>
    <row r="45" spans="1:19" ht="12.75">
      <c r="A45" s="3" t="s">
        <v>33</v>
      </c>
      <c r="B45" s="9" t="s">
        <v>45</v>
      </c>
      <c r="C45" s="8">
        <v>1</v>
      </c>
      <c r="D45" s="6" t="s">
        <v>35</v>
      </c>
      <c r="E45" s="15">
        <f>SUM(PQR_Part4_Rec)-SUM(PQR_Part4_Rel)</f>
        <v>0</v>
      </c>
      <c r="F45" s="10">
        <f>IF(F39+PQR_Lead4&lt;=PQR_Horizon,INDEX(PQR_Part4_Rec,1,F39+PQR_Lead4),0)</f>
        <v>0</v>
      </c>
      <c r="G45" s="10">
        <f aca="true" t="shared" si="22" ref="G45:Q45">IF(G39+PQR_Lead4&lt;=PQR_Horizon,INDEX(PQR_Part4_Rec,1,G39+PQR_Lead4),0)</f>
        <v>0</v>
      </c>
      <c r="H45" s="10">
        <f t="shared" si="22"/>
        <v>370</v>
      </c>
      <c r="I45" s="10">
        <f t="shared" si="22"/>
        <v>0</v>
      </c>
      <c r="J45" s="10">
        <f t="shared" si="22"/>
        <v>0</v>
      </c>
      <c r="K45" s="10">
        <f t="shared" si="22"/>
        <v>220</v>
      </c>
      <c r="L45" s="10">
        <f t="shared" si="22"/>
        <v>0</v>
      </c>
      <c r="M45" s="10">
        <f t="shared" si="22"/>
        <v>0</v>
      </c>
      <c r="N45" s="10">
        <f t="shared" si="22"/>
        <v>230</v>
      </c>
      <c r="O45" s="10">
        <f t="shared" si="22"/>
        <v>0</v>
      </c>
      <c r="P45" s="10">
        <f t="shared" si="22"/>
        <v>0</v>
      </c>
      <c r="Q45" s="10">
        <f t="shared" si="22"/>
        <v>0</v>
      </c>
      <c r="R45" s="3" t="s">
        <v>36</v>
      </c>
      <c r="S45" s="12">
        <f>S43*PQR_h4+S44*PQR_A4</f>
        <v>125.34166666666667</v>
      </c>
    </row>
    <row r="46" spans="1:19" ht="12.75">
      <c r="A46" s="3" t="s">
        <v>37</v>
      </c>
      <c r="C46" s="9">
        <v>5</v>
      </c>
      <c r="D46" s="6" t="s">
        <v>38</v>
      </c>
      <c r="E46" s="16">
        <f>E42</f>
        <v>310</v>
      </c>
      <c r="F46" s="10">
        <f aca="true" t="shared" si="23" ref="F46:Q46">E46-F40+F44+F41</f>
        <v>0</v>
      </c>
      <c r="G46" s="10">
        <f t="shared" si="23"/>
        <v>0</v>
      </c>
      <c r="H46" s="10">
        <f t="shared" si="23"/>
        <v>0</v>
      </c>
      <c r="I46" s="10">
        <f t="shared" si="23"/>
        <v>0</v>
      </c>
      <c r="J46" s="10">
        <f t="shared" si="23"/>
        <v>0</v>
      </c>
      <c r="K46" s="10">
        <f t="shared" si="23"/>
        <v>0</v>
      </c>
      <c r="L46" s="10">
        <f t="shared" si="23"/>
        <v>0</v>
      </c>
      <c r="M46" s="10">
        <f t="shared" si="23"/>
        <v>0</v>
      </c>
      <c r="N46" s="10">
        <f t="shared" si="23"/>
        <v>0</v>
      </c>
      <c r="O46" s="10">
        <f t="shared" si="23"/>
        <v>0</v>
      </c>
      <c r="P46" s="10">
        <f t="shared" si="23"/>
        <v>0</v>
      </c>
      <c r="Q46" s="10">
        <f t="shared" si="23"/>
        <v>0</v>
      </c>
      <c r="R46" s="3" t="s">
        <v>39</v>
      </c>
      <c r="S46" s="12">
        <f>ROUND(SQRT(2*PQR_Part_D4*PQR_A4/PQR_h4),0)</f>
        <v>4583</v>
      </c>
    </row>
    <row r="47" spans="1:19" ht="12.75">
      <c r="A47" s="3" t="s">
        <v>40</v>
      </c>
      <c r="C47" s="10">
        <f>C46</f>
        <v>5</v>
      </c>
      <c r="D47" s="6" t="s">
        <v>41</v>
      </c>
      <c r="E47" s="15">
        <f>E45</f>
        <v>0</v>
      </c>
      <c r="F47" s="10">
        <f aca="true" t="shared" si="24" ref="F47:Q47">E47+F45-F44</f>
        <v>0</v>
      </c>
      <c r="G47" s="10">
        <f t="shared" si="24"/>
        <v>0</v>
      </c>
      <c r="H47" s="10">
        <f t="shared" si="24"/>
        <v>370</v>
      </c>
      <c r="I47" s="10">
        <f t="shared" si="24"/>
        <v>0</v>
      </c>
      <c r="J47" s="10">
        <f t="shared" si="24"/>
        <v>0</v>
      </c>
      <c r="K47" s="10">
        <f t="shared" si="24"/>
        <v>220</v>
      </c>
      <c r="L47" s="10">
        <f t="shared" si="24"/>
        <v>0</v>
      </c>
      <c r="M47" s="10">
        <f t="shared" si="24"/>
        <v>0</v>
      </c>
      <c r="N47" s="10">
        <f t="shared" si="24"/>
        <v>230</v>
      </c>
      <c r="O47" s="10">
        <f t="shared" si="24"/>
        <v>0</v>
      </c>
      <c r="P47" s="10">
        <f t="shared" si="24"/>
        <v>0</v>
      </c>
      <c r="Q47" s="10">
        <f t="shared" si="24"/>
        <v>0</v>
      </c>
      <c r="R47" s="3" t="s">
        <v>42</v>
      </c>
      <c r="S47" s="12">
        <f>MAX(1,ROUND(S46/PQR_Part_D4,0))</f>
        <v>44</v>
      </c>
    </row>
    <row r="49" spans="1:19" ht="12.75">
      <c r="A49" s="3" t="s">
        <v>16</v>
      </c>
      <c r="B49" s="4"/>
      <c r="C49" s="8">
        <v>300</v>
      </c>
      <c r="D49" s="6" t="s">
        <v>17</v>
      </c>
      <c r="E49" s="13"/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8">
        <v>7</v>
      </c>
      <c r="M49" s="8">
        <v>8</v>
      </c>
      <c r="N49" s="8">
        <v>9</v>
      </c>
      <c r="O49" s="8">
        <v>10</v>
      </c>
      <c r="P49" s="8">
        <v>11</v>
      </c>
      <c r="Q49" s="8">
        <v>12</v>
      </c>
      <c r="R49" s="3" t="s">
        <v>18</v>
      </c>
      <c r="S49" s="12">
        <f>$C49</f>
        <v>300</v>
      </c>
    </row>
    <row r="50" spans="1:19" ht="12.75">
      <c r="A50" s="3" t="s">
        <v>19</v>
      </c>
      <c r="B50" s="4"/>
      <c r="C50" s="8">
        <f>MAX(PQR_Level1)+1</f>
        <v>1</v>
      </c>
      <c r="D50" s="6" t="s">
        <v>20</v>
      </c>
      <c r="E50" s="13"/>
      <c r="F50" s="10">
        <f aca="true" t="shared" si="25" ref="F50:Q50">INDEX(PQR_BOM1,2,2)*PQR_Part1_Rel</f>
        <v>310</v>
      </c>
      <c r="G50" s="10">
        <f t="shared" si="25"/>
        <v>0</v>
      </c>
      <c r="H50" s="10">
        <f t="shared" si="25"/>
        <v>0</v>
      </c>
      <c r="I50" s="10">
        <f t="shared" si="25"/>
        <v>370</v>
      </c>
      <c r="J50" s="10">
        <f t="shared" si="25"/>
        <v>0</v>
      </c>
      <c r="K50" s="10">
        <f t="shared" si="25"/>
        <v>0</v>
      </c>
      <c r="L50" s="10">
        <f t="shared" si="25"/>
        <v>220</v>
      </c>
      <c r="M50" s="10">
        <f t="shared" si="25"/>
        <v>0</v>
      </c>
      <c r="N50" s="10">
        <f t="shared" si="25"/>
        <v>0</v>
      </c>
      <c r="O50" s="10">
        <f t="shared" si="25"/>
        <v>230</v>
      </c>
      <c r="P50" s="10">
        <f t="shared" si="25"/>
        <v>0</v>
      </c>
      <c r="Q50" s="10">
        <f t="shared" si="25"/>
        <v>0</v>
      </c>
      <c r="R50" s="3" t="s">
        <v>21</v>
      </c>
      <c r="S50" s="12">
        <f>INDEX(PQR_BOM1,2,2)*PQR_Part_D1</f>
        <v>105</v>
      </c>
    </row>
    <row r="51" spans="1:19" ht="12.75">
      <c r="A51" s="3" t="s">
        <v>22</v>
      </c>
      <c r="B51" s="8">
        <v>100</v>
      </c>
      <c r="C51" s="8">
        <v>2</v>
      </c>
      <c r="D51" s="6" t="s">
        <v>24</v>
      </c>
      <c r="E51" s="13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3" t="s">
        <v>25</v>
      </c>
      <c r="S51" s="3">
        <v>100</v>
      </c>
    </row>
    <row r="52" spans="1:19" ht="12.75">
      <c r="A52" s="3"/>
      <c r="B52" s="8">
        <v>200</v>
      </c>
      <c r="C52" s="8">
        <v>1</v>
      </c>
      <c r="D52" s="6" t="s">
        <v>26</v>
      </c>
      <c r="E52" s="17">
        <v>400</v>
      </c>
      <c r="F52" s="10">
        <f aca="true" t="shared" si="26" ref="F52:Q52">IF(E52+F51-F50&gt;0,E52+F51-F50,0)</f>
        <v>90</v>
      </c>
      <c r="G52" s="10">
        <f t="shared" si="26"/>
        <v>90</v>
      </c>
      <c r="H52" s="10">
        <f t="shared" si="26"/>
        <v>90</v>
      </c>
      <c r="I52" s="10">
        <f t="shared" si="26"/>
        <v>0</v>
      </c>
      <c r="J52" s="10">
        <f t="shared" si="26"/>
        <v>0</v>
      </c>
      <c r="K52" s="10">
        <f t="shared" si="26"/>
        <v>0</v>
      </c>
      <c r="L52" s="10">
        <f t="shared" si="26"/>
        <v>0</v>
      </c>
      <c r="M52" s="10">
        <f t="shared" si="26"/>
        <v>0</v>
      </c>
      <c r="N52" s="10">
        <f t="shared" si="26"/>
        <v>0</v>
      </c>
      <c r="O52" s="10">
        <f t="shared" si="26"/>
        <v>0</v>
      </c>
      <c r="P52" s="10">
        <f t="shared" si="26"/>
        <v>0</v>
      </c>
      <c r="Q52" s="10">
        <f t="shared" si="26"/>
        <v>0</v>
      </c>
      <c r="R52" s="3" t="s">
        <v>27</v>
      </c>
      <c r="S52" s="12">
        <f>PQR_Interest*PQR_Cost5</f>
        <v>0.14</v>
      </c>
    </row>
    <row r="53" spans="1:19" ht="12.75">
      <c r="A53" s="3"/>
      <c r="B53" s="8"/>
      <c r="C53" s="8"/>
      <c r="D53" s="6" t="s">
        <v>28</v>
      </c>
      <c r="E53" s="13"/>
      <c r="F53" s="10">
        <f aca="true" t="shared" si="27" ref="F53:Q53">IF(F52&gt;0,0,F50-F51-E52)</f>
        <v>0</v>
      </c>
      <c r="G53" s="10">
        <f t="shared" si="27"/>
        <v>0</v>
      </c>
      <c r="H53" s="10">
        <f t="shared" si="27"/>
        <v>0</v>
      </c>
      <c r="I53" s="10">
        <f t="shared" si="27"/>
        <v>280</v>
      </c>
      <c r="J53" s="10">
        <f t="shared" si="27"/>
        <v>0</v>
      </c>
      <c r="K53" s="10">
        <f t="shared" si="27"/>
        <v>0</v>
      </c>
      <c r="L53" s="10">
        <f t="shared" si="27"/>
        <v>220</v>
      </c>
      <c r="M53" s="10">
        <f t="shared" si="27"/>
        <v>0</v>
      </c>
      <c r="N53" s="10">
        <f t="shared" si="27"/>
        <v>0</v>
      </c>
      <c r="O53" s="10">
        <f t="shared" si="27"/>
        <v>230</v>
      </c>
      <c r="P53" s="10">
        <f t="shared" si="27"/>
        <v>0</v>
      </c>
      <c r="Q53" s="10">
        <f t="shared" si="27"/>
        <v>0</v>
      </c>
      <c r="R53" s="3" t="s">
        <v>29</v>
      </c>
      <c r="S53" s="12">
        <f>(SUM(PQR_Part5_WIP)+SUM(PQR_Part5_OH))/PQR_Horizon</f>
        <v>83.33333333333333</v>
      </c>
    </row>
    <row r="54" spans="1:19" ht="12.75">
      <c r="A54" s="3" t="s">
        <v>30</v>
      </c>
      <c r="B54" s="4"/>
      <c r="C54" s="8">
        <v>1</v>
      </c>
      <c r="D54" s="6" t="s">
        <v>31</v>
      </c>
      <c r="E54" s="13"/>
      <c r="F54" s="10">
        <f aca="true" t="shared" si="28" ref="F54:Q54">F53</f>
        <v>0</v>
      </c>
      <c r="G54" s="10">
        <f t="shared" si="28"/>
        <v>0</v>
      </c>
      <c r="H54" s="10">
        <f t="shared" si="28"/>
        <v>0</v>
      </c>
      <c r="I54" s="10">
        <f t="shared" si="28"/>
        <v>280</v>
      </c>
      <c r="J54" s="10">
        <f t="shared" si="28"/>
        <v>0</v>
      </c>
      <c r="K54" s="10">
        <f t="shared" si="28"/>
        <v>0</v>
      </c>
      <c r="L54" s="10">
        <f t="shared" si="28"/>
        <v>220</v>
      </c>
      <c r="M54" s="10">
        <f t="shared" si="28"/>
        <v>0</v>
      </c>
      <c r="N54" s="10">
        <f t="shared" si="28"/>
        <v>0</v>
      </c>
      <c r="O54" s="10">
        <f t="shared" si="28"/>
        <v>230</v>
      </c>
      <c r="P54" s="10">
        <f t="shared" si="28"/>
        <v>0</v>
      </c>
      <c r="Q54" s="10">
        <f t="shared" si="28"/>
        <v>0</v>
      </c>
      <c r="R54" s="3" t="s">
        <v>32</v>
      </c>
      <c r="S54" s="12">
        <f>(COUNTIF(PQR_Part5_Rel,"&gt;0"))/PQR_Horizon</f>
        <v>0.25</v>
      </c>
    </row>
    <row r="55" spans="1:19" ht="12.75">
      <c r="A55" s="3" t="s">
        <v>33</v>
      </c>
      <c r="B55" s="4" t="s">
        <v>45</v>
      </c>
      <c r="C55" s="8">
        <v>1</v>
      </c>
      <c r="D55" s="6" t="s">
        <v>35</v>
      </c>
      <c r="E55" s="15">
        <f>SUM(PQR_Part5_Rec)-SUM(PQR_Part5_Rel)</f>
        <v>0</v>
      </c>
      <c r="F55" s="10">
        <f>IF(F49+PQR_Lead5&lt;=PQR_Horizon,INDEX(PQR_Part5_Rec,1,F49+PQR_Lead5),0)</f>
        <v>0</v>
      </c>
      <c r="G55" s="10">
        <f aca="true" t="shared" si="29" ref="G55:Q55">IF(G49+PQR_Lead5&lt;=PQR_Horizon,INDEX(PQR_Part5_Rec,1,G49+PQR_Lead5),0)</f>
        <v>0</v>
      </c>
      <c r="H55" s="10">
        <f t="shared" si="29"/>
        <v>280</v>
      </c>
      <c r="I55" s="10">
        <f t="shared" si="29"/>
        <v>0</v>
      </c>
      <c r="J55" s="10">
        <f t="shared" si="29"/>
        <v>0</v>
      </c>
      <c r="K55" s="10">
        <f t="shared" si="29"/>
        <v>220</v>
      </c>
      <c r="L55" s="10">
        <f t="shared" si="29"/>
        <v>0</v>
      </c>
      <c r="M55" s="10">
        <f t="shared" si="29"/>
        <v>0</v>
      </c>
      <c r="N55" s="10">
        <f t="shared" si="29"/>
        <v>230</v>
      </c>
      <c r="O55" s="10">
        <f t="shared" si="29"/>
        <v>0</v>
      </c>
      <c r="P55" s="10">
        <f t="shared" si="29"/>
        <v>0</v>
      </c>
      <c r="Q55" s="10">
        <f t="shared" si="29"/>
        <v>0</v>
      </c>
      <c r="R55" s="3" t="s">
        <v>36</v>
      </c>
      <c r="S55" s="12">
        <f>S53*PQR_h5+S54*PQR_A5</f>
        <v>36.66666666666667</v>
      </c>
    </row>
    <row r="56" spans="1:19" ht="12.75">
      <c r="A56" s="3" t="s">
        <v>37</v>
      </c>
      <c r="C56" s="9">
        <v>0</v>
      </c>
      <c r="D56" s="6" t="s">
        <v>38</v>
      </c>
      <c r="E56" s="16">
        <f>E52</f>
        <v>400</v>
      </c>
      <c r="F56" s="10">
        <f aca="true" t="shared" si="30" ref="F56:Q56">E56-F50+F54+F51</f>
        <v>90</v>
      </c>
      <c r="G56" s="10">
        <f t="shared" si="30"/>
        <v>90</v>
      </c>
      <c r="H56" s="10">
        <f t="shared" si="30"/>
        <v>90</v>
      </c>
      <c r="I56" s="10">
        <f t="shared" si="30"/>
        <v>0</v>
      </c>
      <c r="J56" s="10">
        <f t="shared" si="30"/>
        <v>0</v>
      </c>
      <c r="K56" s="10">
        <f t="shared" si="30"/>
        <v>0</v>
      </c>
      <c r="L56" s="10">
        <f t="shared" si="30"/>
        <v>0</v>
      </c>
      <c r="M56" s="10">
        <f t="shared" si="30"/>
        <v>0</v>
      </c>
      <c r="N56" s="10">
        <f t="shared" si="30"/>
        <v>0</v>
      </c>
      <c r="O56" s="10">
        <f t="shared" si="30"/>
        <v>0</v>
      </c>
      <c r="P56" s="10">
        <f t="shared" si="30"/>
        <v>0</v>
      </c>
      <c r="Q56" s="10">
        <f t="shared" si="30"/>
        <v>0</v>
      </c>
      <c r="R56" s="3" t="s">
        <v>39</v>
      </c>
      <c r="S56" s="12">
        <f>ROUND(SQRT(2*PQR_Part_D5*PQR_A5/PQR_h5),0)</f>
        <v>387</v>
      </c>
    </row>
    <row r="57" spans="1:19" ht="12.75">
      <c r="A57" s="3" t="s">
        <v>40</v>
      </c>
      <c r="C57" s="10">
        <f>C56+INDEX(PQR_BOM5,1,2)*PQR_Cost7+INDEX(PQR_BOM5,2,2)*PQR_Cost8</f>
        <v>140</v>
      </c>
      <c r="D57" s="6" t="s">
        <v>41</v>
      </c>
      <c r="E57" s="15">
        <f>E55</f>
        <v>0</v>
      </c>
      <c r="F57" s="10">
        <f aca="true" t="shared" si="31" ref="F57:Q57">E57+F55-F54</f>
        <v>0</v>
      </c>
      <c r="G57" s="10">
        <f t="shared" si="31"/>
        <v>0</v>
      </c>
      <c r="H57" s="10">
        <f t="shared" si="31"/>
        <v>280</v>
      </c>
      <c r="I57" s="10">
        <f t="shared" si="31"/>
        <v>0</v>
      </c>
      <c r="J57" s="10">
        <f t="shared" si="31"/>
        <v>0</v>
      </c>
      <c r="K57" s="10">
        <f t="shared" si="31"/>
        <v>220</v>
      </c>
      <c r="L57" s="10">
        <f t="shared" si="31"/>
        <v>0</v>
      </c>
      <c r="M57" s="10">
        <f t="shared" si="31"/>
        <v>0</v>
      </c>
      <c r="N57" s="10">
        <f t="shared" si="31"/>
        <v>230</v>
      </c>
      <c r="O57" s="10">
        <f t="shared" si="31"/>
        <v>0</v>
      </c>
      <c r="P57" s="10">
        <f t="shared" si="31"/>
        <v>0</v>
      </c>
      <c r="Q57" s="10">
        <f t="shared" si="31"/>
        <v>0</v>
      </c>
      <c r="R57" s="3" t="s">
        <v>42</v>
      </c>
      <c r="S57" s="12">
        <f>MAX(1,ROUND(S56/PQR_Part_D5,0))</f>
        <v>4</v>
      </c>
    </row>
    <row r="59" spans="1:19" ht="12.75">
      <c r="A59" s="3" t="s">
        <v>16</v>
      </c>
      <c r="B59" s="4"/>
      <c r="C59" s="8">
        <v>350</v>
      </c>
      <c r="D59" s="6" t="s">
        <v>17</v>
      </c>
      <c r="E59" s="13"/>
      <c r="F59" s="8">
        <v>1</v>
      </c>
      <c r="G59" s="8">
        <v>2</v>
      </c>
      <c r="H59" s="8">
        <v>3</v>
      </c>
      <c r="I59" s="8">
        <v>4</v>
      </c>
      <c r="J59" s="8">
        <v>5</v>
      </c>
      <c r="K59" s="8">
        <v>6</v>
      </c>
      <c r="L59" s="8">
        <v>7</v>
      </c>
      <c r="M59" s="8">
        <v>8</v>
      </c>
      <c r="N59" s="8">
        <v>9</v>
      </c>
      <c r="O59" s="8">
        <v>10</v>
      </c>
      <c r="P59" s="8">
        <v>11</v>
      </c>
      <c r="Q59" s="8">
        <v>12</v>
      </c>
      <c r="R59" s="3" t="s">
        <v>18</v>
      </c>
      <c r="S59" s="12">
        <f>$C59</f>
        <v>350</v>
      </c>
    </row>
    <row r="60" spans="1:19" ht="12.75">
      <c r="A60" s="3" t="s">
        <v>19</v>
      </c>
      <c r="B60" s="4"/>
      <c r="C60" s="8">
        <f>MAX(PQR_Level1,PQR_Level2)+1</f>
        <v>1</v>
      </c>
      <c r="D60" s="6" t="s">
        <v>20</v>
      </c>
      <c r="E60" s="13"/>
      <c r="F60" s="10">
        <f aca="true" t="shared" si="32" ref="F60:Q60">INDEX(PQR_BOM1,3,2)*PQR_Part1_Rel+INDEX(PQR_BOM2,2,2)*PQR_Part2_Rel</f>
        <v>310</v>
      </c>
      <c r="G60" s="10">
        <f t="shared" si="32"/>
        <v>0</v>
      </c>
      <c r="H60" s="10">
        <f t="shared" si="32"/>
        <v>160</v>
      </c>
      <c r="I60" s="10">
        <f t="shared" si="32"/>
        <v>370</v>
      </c>
      <c r="J60" s="10">
        <f t="shared" si="32"/>
        <v>0</v>
      </c>
      <c r="K60" s="10">
        <f t="shared" si="32"/>
        <v>100</v>
      </c>
      <c r="L60" s="10">
        <f t="shared" si="32"/>
        <v>220</v>
      </c>
      <c r="M60" s="10">
        <f t="shared" si="32"/>
        <v>0</v>
      </c>
      <c r="N60" s="10">
        <f t="shared" si="32"/>
        <v>140</v>
      </c>
      <c r="O60" s="10">
        <f t="shared" si="32"/>
        <v>230</v>
      </c>
      <c r="P60" s="10">
        <f t="shared" si="32"/>
        <v>0</v>
      </c>
      <c r="Q60" s="10">
        <f t="shared" si="32"/>
        <v>0</v>
      </c>
      <c r="R60" s="3" t="s">
        <v>21</v>
      </c>
      <c r="S60" s="12">
        <f>INDEX(PQR_BOM1,3,2)*PQR_Part_D1+INDEX(PQR_BOM2,2,2)*PQR_Part_D2</f>
        <v>146.66666666666666</v>
      </c>
    </row>
    <row r="61" spans="1:19" ht="12.75">
      <c r="A61" s="3" t="s">
        <v>22</v>
      </c>
      <c r="B61" s="8">
        <v>200</v>
      </c>
      <c r="C61" s="8">
        <v>1</v>
      </c>
      <c r="D61" s="6" t="s">
        <v>24</v>
      </c>
      <c r="E61" s="13"/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3" t="s">
        <v>25</v>
      </c>
      <c r="S61" s="3">
        <v>100</v>
      </c>
    </row>
    <row r="62" spans="1:19" ht="12.75">
      <c r="A62" s="3"/>
      <c r="B62" s="8"/>
      <c r="C62" s="8"/>
      <c r="D62" s="6" t="s">
        <v>26</v>
      </c>
      <c r="E62" s="17">
        <v>350</v>
      </c>
      <c r="F62" s="10">
        <f aca="true" t="shared" si="33" ref="F62:Q62">IF(E62+F61-F60&gt;0,E62+F61-F60,0)</f>
        <v>40</v>
      </c>
      <c r="G62" s="10">
        <f t="shared" si="33"/>
        <v>40</v>
      </c>
      <c r="H62" s="10">
        <f t="shared" si="33"/>
        <v>0</v>
      </c>
      <c r="I62" s="10">
        <f t="shared" si="33"/>
        <v>0</v>
      </c>
      <c r="J62" s="10">
        <f t="shared" si="33"/>
        <v>0</v>
      </c>
      <c r="K62" s="10">
        <f t="shared" si="33"/>
        <v>0</v>
      </c>
      <c r="L62" s="10">
        <f t="shared" si="33"/>
        <v>0</v>
      </c>
      <c r="M62" s="10">
        <f t="shared" si="33"/>
        <v>0</v>
      </c>
      <c r="N62" s="10">
        <f t="shared" si="33"/>
        <v>0</v>
      </c>
      <c r="O62" s="10">
        <f t="shared" si="33"/>
        <v>0</v>
      </c>
      <c r="P62" s="10">
        <f t="shared" si="33"/>
        <v>0</v>
      </c>
      <c r="Q62" s="10">
        <f t="shared" si="33"/>
        <v>0</v>
      </c>
      <c r="R62" s="3" t="s">
        <v>27</v>
      </c>
      <c r="S62" s="12">
        <f>PQR_Interest*PQR_Cost6</f>
        <v>0.06</v>
      </c>
    </row>
    <row r="63" spans="1:19" ht="12.75">
      <c r="A63" s="3"/>
      <c r="B63" s="8"/>
      <c r="C63" s="8"/>
      <c r="D63" s="6" t="s">
        <v>28</v>
      </c>
      <c r="E63" s="13"/>
      <c r="F63" s="10">
        <f aca="true" t="shared" si="34" ref="F63:Q63">IF(F62&gt;0,0,F60-F61-E62)</f>
        <v>0</v>
      </c>
      <c r="G63" s="10">
        <f t="shared" si="34"/>
        <v>0</v>
      </c>
      <c r="H63" s="10">
        <f t="shared" si="34"/>
        <v>120</v>
      </c>
      <c r="I63" s="10">
        <f t="shared" si="34"/>
        <v>370</v>
      </c>
      <c r="J63" s="10">
        <f t="shared" si="34"/>
        <v>0</v>
      </c>
      <c r="K63" s="10">
        <f t="shared" si="34"/>
        <v>100</v>
      </c>
      <c r="L63" s="10">
        <f t="shared" si="34"/>
        <v>220</v>
      </c>
      <c r="M63" s="10">
        <f t="shared" si="34"/>
        <v>0</v>
      </c>
      <c r="N63" s="10">
        <f t="shared" si="34"/>
        <v>140</v>
      </c>
      <c r="O63" s="10">
        <f t="shared" si="34"/>
        <v>230</v>
      </c>
      <c r="P63" s="10">
        <f t="shared" si="34"/>
        <v>0</v>
      </c>
      <c r="Q63" s="10">
        <f t="shared" si="34"/>
        <v>0</v>
      </c>
      <c r="R63" s="3" t="s">
        <v>29</v>
      </c>
      <c r="S63" s="12">
        <f>(SUM(PQR_Part6_WIP)+SUM(PQR_Part6_OH))/PQR_Horizon</f>
        <v>173.33333333333334</v>
      </c>
    </row>
    <row r="64" spans="1:19" ht="12.75">
      <c r="A64" s="3" t="s">
        <v>30</v>
      </c>
      <c r="B64" s="4"/>
      <c r="C64" s="8">
        <v>1</v>
      </c>
      <c r="D64" s="6" t="s">
        <v>31</v>
      </c>
      <c r="E64" s="13"/>
      <c r="F64" s="10">
        <f ca="1">IF(E66-F60+F61&lt;0,SUM(F63:OFFSET(F63,0,MIN(PQR_Lot6-1,PQR_Horizon-F59))),0)</f>
        <v>0</v>
      </c>
      <c r="G64" s="10">
        <f ca="1">IF(F66-G60+G61&lt;0,SUM(G63:OFFSET(G63,0,MIN(PQR_Lot6-1,PQR_Horizon-G59))),0)</f>
        <v>0</v>
      </c>
      <c r="H64" s="10">
        <f ca="1">IF(G66-H60+H61&lt;0,SUM(H63:OFFSET(H63,0,MIN(PQR_Lot6-1,PQR_Horizon-H59))),0)</f>
        <v>490</v>
      </c>
      <c r="I64" s="10">
        <f ca="1">IF(H66-I60+I61&lt;0,SUM(I63:OFFSET(I63,0,MIN(PQR_Lot6-1,PQR_Horizon-I59))),0)</f>
        <v>0</v>
      </c>
      <c r="J64" s="10">
        <f ca="1">IF(I66-J60+J61&lt;0,SUM(J63:OFFSET(J63,0,MIN(PQR_Lot6-1,PQR_Horizon-J59))),0)</f>
        <v>0</v>
      </c>
      <c r="K64" s="10">
        <f ca="1">IF(J66-K60+K61&lt;0,SUM(K63:OFFSET(K63,0,MIN(PQR_Lot6-1,PQR_Horizon-K59))),0)</f>
        <v>320</v>
      </c>
      <c r="L64" s="10">
        <f ca="1">IF(K66-L60+L61&lt;0,SUM(L63:OFFSET(L63,0,MIN(PQR_Lot6-1,PQR_Horizon-L59))),0)</f>
        <v>0</v>
      </c>
      <c r="M64" s="10">
        <f ca="1">IF(L66-M60+M61&lt;0,SUM(M63:OFFSET(M63,0,MIN(PQR_Lot6-1,PQR_Horizon-M59))),0)</f>
        <v>0</v>
      </c>
      <c r="N64" s="10">
        <f ca="1">IF(M66-N60+N61&lt;0,SUM(N63:OFFSET(N63,0,MIN(PQR_Lot6-1,PQR_Horizon-N59))),0)</f>
        <v>370</v>
      </c>
      <c r="O64" s="10">
        <f ca="1">IF(N66-O60+O61&lt;0,SUM(O63:OFFSET(O63,0,MIN(PQR_Lot6-1,PQR_Horizon-O59))),0)</f>
        <v>0</v>
      </c>
      <c r="P64" s="10">
        <f ca="1">IF(O66-P60+P61&lt;0,SUM(P63:OFFSET(P63,0,MIN(PQR_Lot6-1,PQR_Horizon-P59))),0)</f>
        <v>0</v>
      </c>
      <c r="Q64" s="10">
        <f ca="1">IF(P66-Q60+Q61&lt;0,SUM(Q63:OFFSET(Q63,0,MIN(PQR_Lot6-1,PQR_Horizon-Q59))),0)</f>
        <v>0</v>
      </c>
      <c r="R64" s="3" t="s">
        <v>32</v>
      </c>
      <c r="S64" s="12">
        <f>(COUNTIF(PQR_Part6_Rel,"&gt;0"))/PQR_Horizon</f>
        <v>0.25</v>
      </c>
    </row>
    <row r="65" spans="1:19" ht="12.75">
      <c r="A65" s="3" t="s">
        <v>33</v>
      </c>
      <c r="B65" s="4" t="s">
        <v>34</v>
      </c>
      <c r="C65" s="8">
        <v>2</v>
      </c>
      <c r="D65" s="6" t="s">
        <v>35</v>
      </c>
      <c r="E65" s="15">
        <f>SUM(PQR_Part6_Rec)-SUM(PQR_Part6_Rel)</f>
        <v>0</v>
      </c>
      <c r="F65" s="10">
        <f>IF(F59+PQR_Lead6&lt;=PQR_Horizon,INDEX(PQR_Part6_Rec,1,F59+PQR_Lead6),0)</f>
        <v>0</v>
      </c>
      <c r="G65" s="10">
        <f aca="true" t="shared" si="35" ref="G65:Q65">IF(G59+PQR_Lead6&lt;=PQR_Horizon,INDEX(PQR_Part6_Rec,1,G59+PQR_Lead6),0)</f>
        <v>490</v>
      </c>
      <c r="H65" s="10">
        <f t="shared" si="35"/>
        <v>0</v>
      </c>
      <c r="I65" s="10">
        <f t="shared" si="35"/>
        <v>0</v>
      </c>
      <c r="J65" s="10">
        <f t="shared" si="35"/>
        <v>320</v>
      </c>
      <c r="K65" s="10">
        <f t="shared" si="35"/>
        <v>0</v>
      </c>
      <c r="L65" s="10">
        <f t="shared" si="35"/>
        <v>0</v>
      </c>
      <c r="M65" s="10">
        <f t="shared" si="35"/>
        <v>370</v>
      </c>
      <c r="N65" s="10">
        <f t="shared" si="35"/>
        <v>0</v>
      </c>
      <c r="O65" s="10">
        <f t="shared" si="35"/>
        <v>0</v>
      </c>
      <c r="P65" s="10">
        <f t="shared" si="35"/>
        <v>0</v>
      </c>
      <c r="Q65" s="10">
        <f t="shared" si="35"/>
        <v>0</v>
      </c>
      <c r="R65" s="3" t="s">
        <v>36</v>
      </c>
      <c r="S65" s="12">
        <f>S63*PQR_h6+S64*PQR_A6</f>
        <v>35.4</v>
      </c>
    </row>
    <row r="66" spans="1:19" ht="12.75">
      <c r="A66" s="3" t="s">
        <v>37</v>
      </c>
      <c r="C66" s="9">
        <v>0</v>
      </c>
      <c r="D66" s="6" t="s">
        <v>38</v>
      </c>
      <c r="E66" s="16">
        <f>E62</f>
        <v>350</v>
      </c>
      <c r="F66" s="10">
        <f aca="true" t="shared" si="36" ref="F66:Q66">E66-F60+F64+F61</f>
        <v>40</v>
      </c>
      <c r="G66" s="10">
        <f t="shared" si="36"/>
        <v>40</v>
      </c>
      <c r="H66" s="10">
        <f t="shared" si="36"/>
        <v>370</v>
      </c>
      <c r="I66" s="10">
        <f t="shared" si="36"/>
        <v>0</v>
      </c>
      <c r="J66" s="10">
        <f t="shared" si="36"/>
        <v>0</v>
      </c>
      <c r="K66" s="10">
        <f t="shared" si="36"/>
        <v>220</v>
      </c>
      <c r="L66" s="10">
        <f t="shared" si="36"/>
        <v>0</v>
      </c>
      <c r="M66" s="10">
        <f t="shared" si="36"/>
        <v>0</v>
      </c>
      <c r="N66" s="10">
        <f t="shared" si="36"/>
        <v>230</v>
      </c>
      <c r="O66" s="10">
        <f t="shared" si="36"/>
        <v>0</v>
      </c>
      <c r="P66" s="10">
        <f t="shared" si="36"/>
        <v>0</v>
      </c>
      <c r="Q66" s="10">
        <f t="shared" si="36"/>
        <v>0</v>
      </c>
      <c r="R66" s="3" t="s">
        <v>39</v>
      </c>
      <c r="S66" s="12">
        <f>ROUND(SQRT(2*PQR_Part_D6*PQR_A6/PQR_h6),0)</f>
        <v>699</v>
      </c>
    </row>
    <row r="67" spans="1:19" ht="12.75">
      <c r="A67" s="3" t="s">
        <v>40</v>
      </c>
      <c r="C67" s="10">
        <f>C66+INDEX(PQR_BOM6,1,2)*PQR_Cost8</f>
        <v>60</v>
      </c>
      <c r="D67" s="6" t="s">
        <v>41</v>
      </c>
      <c r="E67" s="15">
        <f>E65</f>
        <v>0</v>
      </c>
      <c r="F67" s="10">
        <f aca="true" t="shared" si="37" ref="F67:Q67">E67+F65-F64</f>
        <v>0</v>
      </c>
      <c r="G67" s="10">
        <f t="shared" si="37"/>
        <v>490</v>
      </c>
      <c r="H67" s="10">
        <f t="shared" si="37"/>
        <v>0</v>
      </c>
      <c r="I67" s="10">
        <f t="shared" si="37"/>
        <v>0</v>
      </c>
      <c r="J67" s="10">
        <f t="shared" si="37"/>
        <v>320</v>
      </c>
      <c r="K67" s="10">
        <f t="shared" si="37"/>
        <v>0</v>
      </c>
      <c r="L67" s="10">
        <f t="shared" si="37"/>
        <v>0</v>
      </c>
      <c r="M67" s="10">
        <f t="shared" si="37"/>
        <v>370</v>
      </c>
      <c r="N67" s="10">
        <f t="shared" si="37"/>
        <v>0</v>
      </c>
      <c r="O67" s="10">
        <f t="shared" si="37"/>
        <v>0</v>
      </c>
      <c r="P67" s="10">
        <f t="shared" si="37"/>
        <v>0</v>
      </c>
      <c r="Q67" s="10">
        <f t="shared" si="37"/>
        <v>0</v>
      </c>
      <c r="R67" s="3" t="s">
        <v>42</v>
      </c>
      <c r="S67" s="12">
        <f>MAX(1,ROUND(S66/PQR_Part_D6,0))</f>
        <v>5</v>
      </c>
    </row>
    <row r="69" spans="1:19" ht="12.75">
      <c r="A69" s="3" t="s">
        <v>16</v>
      </c>
      <c r="B69" s="4"/>
      <c r="C69" s="8">
        <v>100</v>
      </c>
      <c r="D69" s="6" t="s">
        <v>17</v>
      </c>
      <c r="E69" s="13"/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8">
        <v>7</v>
      </c>
      <c r="M69" s="8">
        <v>8</v>
      </c>
      <c r="N69" s="8">
        <v>9</v>
      </c>
      <c r="O69" s="8">
        <v>10</v>
      </c>
      <c r="P69" s="8">
        <v>11</v>
      </c>
      <c r="Q69" s="8">
        <v>12</v>
      </c>
      <c r="R69" s="3" t="s">
        <v>18</v>
      </c>
      <c r="S69" s="12">
        <f>$C69</f>
        <v>100</v>
      </c>
    </row>
    <row r="70" spans="1:19" ht="12.75">
      <c r="A70" s="3" t="s">
        <v>19</v>
      </c>
      <c r="B70" s="4"/>
      <c r="C70" s="8">
        <f>MAX(PQR_Level5)+1</f>
        <v>2</v>
      </c>
      <c r="D70" s="6" t="s">
        <v>20</v>
      </c>
      <c r="E70" s="13"/>
      <c r="F70" s="10">
        <f aca="true" t="shared" si="38" ref="F70:Q70">INDEX(PQR_BOM5,1,2)*PQR_Part5_Rel</f>
        <v>0</v>
      </c>
      <c r="G70" s="10">
        <f t="shared" si="38"/>
        <v>0</v>
      </c>
      <c r="H70" s="10">
        <f t="shared" si="38"/>
        <v>560</v>
      </c>
      <c r="I70" s="10">
        <f t="shared" si="38"/>
        <v>0</v>
      </c>
      <c r="J70" s="10">
        <f t="shared" si="38"/>
        <v>0</v>
      </c>
      <c r="K70" s="10">
        <f t="shared" si="38"/>
        <v>440</v>
      </c>
      <c r="L70" s="10">
        <f t="shared" si="38"/>
        <v>0</v>
      </c>
      <c r="M70" s="10">
        <f t="shared" si="38"/>
        <v>0</v>
      </c>
      <c r="N70" s="10">
        <f t="shared" si="38"/>
        <v>460</v>
      </c>
      <c r="O70" s="10">
        <f t="shared" si="38"/>
        <v>0</v>
      </c>
      <c r="P70" s="10">
        <f t="shared" si="38"/>
        <v>0</v>
      </c>
      <c r="Q70" s="10">
        <f t="shared" si="38"/>
        <v>0</v>
      </c>
      <c r="R70" s="3" t="s">
        <v>21</v>
      </c>
      <c r="S70" s="12">
        <f>INDEX(PQR_BOM5,1,2)*PQR_Part_D5</f>
        <v>210</v>
      </c>
    </row>
    <row r="71" spans="1:19" ht="12.75">
      <c r="A71" s="3" t="s">
        <v>22</v>
      </c>
      <c r="B71" s="8" t="s">
        <v>46</v>
      </c>
      <c r="C71" s="8">
        <v>1</v>
      </c>
      <c r="D71" s="6" t="s">
        <v>24</v>
      </c>
      <c r="E71" s="13"/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3" t="s">
        <v>25</v>
      </c>
      <c r="S71" s="3">
        <v>100</v>
      </c>
    </row>
    <row r="72" spans="1:19" ht="12.75">
      <c r="A72" s="3"/>
      <c r="B72" s="8" t="s">
        <v>47</v>
      </c>
      <c r="C72" s="8">
        <v>1</v>
      </c>
      <c r="D72" s="6" t="s">
        <v>26</v>
      </c>
      <c r="E72" s="17">
        <v>150</v>
      </c>
      <c r="F72" s="10">
        <f aca="true" t="shared" si="39" ref="F72:Q72">IF(E72+F71-F70&gt;0,E72+F71-F70,0)</f>
        <v>150</v>
      </c>
      <c r="G72" s="10">
        <f t="shared" si="39"/>
        <v>150</v>
      </c>
      <c r="H72" s="10">
        <f t="shared" si="39"/>
        <v>0</v>
      </c>
      <c r="I72" s="10">
        <f t="shared" si="39"/>
        <v>0</v>
      </c>
      <c r="J72" s="10">
        <f t="shared" si="39"/>
        <v>0</v>
      </c>
      <c r="K72" s="10">
        <f t="shared" si="39"/>
        <v>0</v>
      </c>
      <c r="L72" s="10">
        <f t="shared" si="39"/>
        <v>0</v>
      </c>
      <c r="M72" s="10">
        <f t="shared" si="39"/>
        <v>0</v>
      </c>
      <c r="N72" s="10">
        <f t="shared" si="39"/>
        <v>0</v>
      </c>
      <c r="O72" s="10">
        <f t="shared" si="39"/>
        <v>0</v>
      </c>
      <c r="P72" s="10">
        <f t="shared" si="39"/>
        <v>0</v>
      </c>
      <c r="Q72" s="10">
        <f t="shared" si="39"/>
        <v>0</v>
      </c>
      <c r="R72" s="3" t="s">
        <v>27</v>
      </c>
      <c r="S72" s="12">
        <f>PQR_Interest*PQR_Cost7</f>
        <v>0.04</v>
      </c>
    </row>
    <row r="73" spans="1:19" ht="12.75">
      <c r="A73" s="3"/>
      <c r="B73" s="8" t="s">
        <v>48</v>
      </c>
      <c r="C73" s="8">
        <v>0</v>
      </c>
      <c r="D73" s="6" t="s">
        <v>28</v>
      </c>
      <c r="E73" s="13"/>
      <c r="F73" s="10">
        <f aca="true" t="shared" si="40" ref="F73:Q73">IF(F72&gt;0,0,F70-F71-E72)</f>
        <v>0</v>
      </c>
      <c r="G73" s="10">
        <f t="shared" si="40"/>
        <v>0</v>
      </c>
      <c r="H73" s="10">
        <f t="shared" si="40"/>
        <v>410</v>
      </c>
      <c r="I73" s="10">
        <f t="shared" si="40"/>
        <v>0</v>
      </c>
      <c r="J73" s="10">
        <f t="shared" si="40"/>
        <v>0</v>
      </c>
      <c r="K73" s="10">
        <f t="shared" si="40"/>
        <v>440</v>
      </c>
      <c r="L73" s="10">
        <f t="shared" si="40"/>
        <v>0</v>
      </c>
      <c r="M73" s="10">
        <f t="shared" si="40"/>
        <v>0</v>
      </c>
      <c r="N73" s="10">
        <f t="shared" si="40"/>
        <v>460</v>
      </c>
      <c r="O73" s="10">
        <f t="shared" si="40"/>
        <v>0</v>
      </c>
      <c r="P73" s="10">
        <f t="shared" si="40"/>
        <v>0</v>
      </c>
      <c r="Q73" s="10">
        <f t="shared" si="40"/>
        <v>0</v>
      </c>
      <c r="R73" s="3" t="s">
        <v>29</v>
      </c>
      <c r="S73" s="12">
        <f>(SUM(PQR_Part7_WIP)+SUM(PQR_Part7_OH))/PQR_Horizon</f>
        <v>134.16666666666666</v>
      </c>
    </row>
    <row r="74" spans="1:19" ht="12.75">
      <c r="A74" s="3" t="s">
        <v>30</v>
      </c>
      <c r="B74" s="4"/>
      <c r="C74" s="8">
        <v>1</v>
      </c>
      <c r="D74" s="6" t="s">
        <v>31</v>
      </c>
      <c r="E74" s="13"/>
      <c r="F74" s="10">
        <f aca="true" t="shared" si="41" ref="F74:Q74">F73</f>
        <v>0</v>
      </c>
      <c r="G74" s="10">
        <f t="shared" si="41"/>
        <v>0</v>
      </c>
      <c r="H74" s="10">
        <f t="shared" si="41"/>
        <v>410</v>
      </c>
      <c r="I74" s="10">
        <f t="shared" si="41"/>
        <v>0</v>
      </c>
      <c r="J74" s="10">
        <f t="shared" si="41"/>
        <v>0</v>
      </c>
      <c r="K74" s="10">
        <f t="shared" si="41"/>
        <v>440</v>
      </c>
      <c r="L74" s="10">
        <f t="shared" si="41"/>
        <v>0</v>
      </c>
      <c r="M74" s="10">
        <f t="shared" si="41"/>
        <v>0</v>
      </c>
      <c r="N74" s="10">
        <f t="shared" si="41"/>
        <v>460</v>
      </c>
      <c r="O74" s="10">
        <f t="shared" si="41"/>
        <v>0</v>
      </c>
      <c r="P74" s="10">
        <f t="shared" si="41"/>
        <v>0</v>
      </c>
      <c r="Q74" s="10">
        <f t="shared" si="41"/>
        <v>0</v>
      </c>
      <c r="R74" s="3" t="s">
        <v>32</v>
      </c>
      <c r="S74" s="12">
        <f>(COUNTIF(PQR_Part7_Rel,"&gt;0"))/PQR_Horizon</f>
        <v>0.25</v>
      </c>
    </row>
    <row r="75" spans="1:19" ht="12.75">
      <c r="A75" s="3" t="s">
        <v>33</v>
      </c>
      <c r="B75" s="4" t="s">
        <v>45</v>
      </c>
      <c r="C75" s="8">
        <v>1</v>
      </c>
      <c r="D75" s="6" t="s">
        <v>35</v>
      </c>
      <c r="E75" s="15">
        <f>SUM(PQR_Part7_Rec)-SUM(PQR_Part7_Rel)</f>
        <v>0</v>
      </c>
      <c r="F75" s="10">
        <f>IF(F69+PQR_Lead7&lt;=PQR_Horizon,INDEX(PQR_Part7_Rec,1,F69+PQR_Lead7),0)</f>
        <v>0</v>
      </c>
      <c r="G75" s="10">
        <f aca="true" t="shared" si="42" ref="G75:Q75">IF(G69+PQR_Lead7&lt;=PQR_Horizon,INDEX(PQR_Part7_Rec,1,G69+PQR_Lead7),0)</f>
        <v>410</v>
      </c>
      <c r="H75" s="10">
        <f t="shared" si="42"/>
        <v>0</v>
      </c>
      <c r="I75" s="10">
        <f t="shared" si="42"/>
        <v>0</v>
      </c>
      <c r="J75" s="10">
        <f t="shared" si="42"/>
        <v>440</v>
      </c>
      <c r="K75" s="10">
        <f t="shared" si="42"/>
        <v>0</v>
      </c>
      <c r="L75" s="10">
        <f t="shared" si="42"/>
        <v>0</v>
      </c>
      <c r="M75" s="10">
        <f t="shared" si="42"/>
        <v>460</v>
      </c>
      <c r="N75" s="10">
        <f t="shared" si="42"/>
        <v>0</v>
      </c>
      <c r="O75" s="10">
        <f t="shared" si="42"/>
        <v>0</v>
      </c>
      <c r="P75" s="10">
        <f t="shared" si="42"/>
        <v>0</v>
      </c>
      <c r="Q75" s="10">
        <f t="shared" si="42"/>
        <v>0</v>
      </c>
      <c r="R75" s="3" t="s">
        <v>36</v>
      </c>
      <c r="S75" s="12">
        <f>S73*PQR_h7+S74*PQR_A7</f>
        <v>30.366666666666667</v>
      </c>
    </row>
    <row r="76" spans="1:19" ht="12.75">
      <c r="A76" s="3" t="s">
        <v>37</v>
      </c>
      <c r="C76" s="9">
        <v>0</v>
      </c>
      <c r="D76" s="6" t="s">
        <v>38</v>
      </c>
      <c r="E76" s="16">
        <f>E72</f>
        <v>150</v>
      </c>
      <c r="F76" s="10">
        <f aca="true" t="shared" si="43" ref="F76:Q76">E76-F70+F74+F71</f>
        <v>150</v>
      </c>
      <c r="G76" s="10">
        <f t="shared" si="43"/>
        <v>150</v>
      </c>
      <c r="H76" s="10">
        <f t="shared" si="43"/>
        <v>0</v>
      </c>
      <c r="I76" s="10">
        <f t="shared" si="43"/>
        <v>0</v>
      </c>
      <c r="J76" s="10">
        <f t="shared" si="43"/>
        <v>0</v>
      </c>
      <c r="K76" s="10">
        <f t="shared" si="43"/>
        <v>0</v>
      </c>
      <c r="L76" s="10">
        <f t="shared" si="43"/>
        <v>0</v>
      </c>
      <c r="M76" s="10">
        <f t="shared" si="43"/>
        <v>0</v>
      </c>
      <c r="N76" s="10">
        <f t="shared" si="43"/>
        <v>0</v>
      </c>
      <c r="O76" s="10">
        <f t="shared" si="43"/>
        <v>0</v>
      </c>
      <c r="P76" s="10">
        <f t="shared" si="43"/>
        <v>0</v>
      </c>
      <c r="Q76" s="10">
        <f t="shared" si="43"/>
        <v>0</v>
      </c>
      <c r="R76" s="3" t="s">
        <v>39</v>
      </c>
      <c r="S76" s="12">
        <f>ROUND(SQRT(2*PQR_Part_D7*PQR_A7/PQR_h7),0)</f>
        <v>1025</v>
      </c>
    </row>
    <row r="77" spans="1:19" ht="12.75">
      <c r="A77" s="3" t="s">
        <v>40</v>
      </c>
      <c r="C77" s="10">
        <f>C76+INDEX(PQR_BOM7,1,2)*PQR_Cost10+INDEX(PQR_BOM7,2,2)*PQR_Cost11</f>
        <v>40</v>
      </c>
      <c r="D77" s="6" t="s">
        <v>41</v>
      </c>
      <c r="E77" s="15">
        <f>E75</f>
        <v>0</v>
      </c>
      <c r="F77" s="10">
        <f aca="true" t="shared" si="44" ref="F77:Q77">E77+F75-F74</f>
        <v>0</v>
      </c>
      <c r="G77" s="10">
        <f t="shared" si="44"/>
        <v>410</v>
      </c>
      <c r="H77" s="10">
        <f t="shared" si="44"/>
        <v>0</v>
      </c>
      <c r="I77" s="10">
        <f t="shared" si="44"/>
        <v>0</v>
      </c>
      <c r="J77" s="10">
        <f t="shared" si="44"/>
        <v>440</v>
      </c>
      <c r="K77" s="10">
        <f t="shared" si="44"/>
        <v>0</v>
      </c>
      <c r="L77" s="10">
        <f t="shared" si="44"/>
        <v>0</v>
      </c>
      <c r="M77" s="10">
        <f t="shared" si="44"/>
        <v>460</v>
      </c>
      <c r="N77" s="10">
        <f t="shared" si="44"/>
        <v>0</v>
      </c>
      <c r="O77" s="10">
        <f t="shared" si="44"/>
        <v>0</v>
      </c>
      <c r="P77" s="10">
        <f t="shared" si="44"/>
        <v>0</v>
      </c>
      <c r="Q77" s="10">
        <f t="shared" si="44"/>
        <v>0</v>
      </c>
      <c r="R77" s="3" t="s">
        <v>42</v>
      </c>
      <c r="S77" s="12">
        <f>MAX(1,ROUND(S76/PQR_Part_D7,0))</f>
        <v>5</v>
      </c>
    </row>
    <row r="79" spans="1:19" ht="12.75">
      <c r="A79" s="3" t="s">
        <v>16</v>
      </c>
      <c r="B79" s="4"/>
      <c r="C79" s="8">
        <v>200</v>
      </c>
      <c r="D79" s="6" t="s">
        <v>17</v>
      </c>
      <c r="E79" s="13"/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8">
        <v>7</v>
      </c>
      <c r="M79" s="8">
        <v>8</v>
      </c>
      <c r="N79" s="8">
        <v>9</v>
      </c>
      <c r="O79" s="8">
        <v>10</v>
      </c>
      <c r="P79" s="8">
        <v>11</v>
      </c>
      <c r="Q79" s="8">
        <v>12</v>
      </c>
      <c r="R79" s="3" t="s">
        <v>18</v>
      </c>
      <c r="S79" s="12">
        <f>$C79</f>
        <v>200</v>
      </c>
    </row>
    <row r="80" spans="1:19" ht="12.75">
      <c r="A80" s="3" t="s">
        <v>19</v>
      </c>
      <c r="B80" s="4"/>
      <c r="C80" s="8">
        <f>MAX(PQR_Level3,PQR_Level5,PQR_Level6)+1</f>
        <v>2</v>
      </c>
      <c r="D80" s="6" t="s">
        <v>20</v>
      </c>
      <c r="E80" s="13"/>
      <c r="F80" s="10">
        <f aca="true" t="shared" si="45" ref="F80:Q80">INDEX(PQR_BOM3,1,2)*PQR_Part3_Rel+INDEX(PQR_BOM5,2,2)*PQR_Part5_Rel+INDEX(PQR_BOM6,1,2)*PQR_Part6_Rel</f>
        <v>0</v>
      </c>
      <c r="G80" s="10">
        <f t="shared" si="45"/>
        <v>950</v>
      </c>
      <c r="H80" s="10">
        <f t="shared" si="45"/>
        <v>280</v>
      </c>
      <c r="I80" s="10">
        <f t="shared" si="45"/>
        <v>0</v>
      </c>
      <c r="J80" s="10">
        <f t="shared" si="45"/>
        <v>940</v>
      </c>
      <c r="K80" s="10">
        <f t="shared" si="45"/>
        <v>220</v>
      </c>
      <c r="L80" s="10">
        <f t="shared" si="45"/>
        <v>0</v>
      </c>
      <c r="M80" s="10">
        <f t="shared" si="45"/>
        <v>1070</v>
      </c>
      <c r="N80" s="10">
        <f t="shared" si="45"/>
        <v>230</v>
      </c>
      <c r="O80" s="10">
        <f t="shared" si="45"/>
        <v>0</v>
      </c>
      <c r="P80" s="10">
        <f t="shared" si="45"/>
        <v>220</v>
      </c>
      <c r="Q80" s="10">
        <f t="shared" si="45"/>
        <v>0</v>
      </c>
      <c r="R80" s="3" t="s">
        <v>21</v>
      </c>
      <c r="S80" s="12">
        <f>INDEX(PQR_BOM3,1,2)*PQR_Part_D3+INDEX(PQR_BOM5,2,2)*PQR_Part_D5+INDEX(PQR_BOM6,1,2)*PQR_Part_D6</f>
        <v>460</v>
      </c>
    </row>
    <row r="81" spans="1:19" ht="12.75">
      <c r="A81" s="3" t="s">
        <v>22</v>
      </c>
      <c r="B81" s="8" t="s">
        <v>46</v>
      </c>
      <c r="C81" s="8">
        <v>1</v>
      </c>
      <c r="D81" s="6" t="s">
        <v>24</v>
      </c>
      <c r="E81" s="13"/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3" t="s">
        <v>25</v>
      </c>
      <c r="S81" s="3">
        <v>100</v>
      </c>
    </row>
    <row r="82" spans="1:19" ht="12.75">
      <c r="A82" s="3"/>
      <c r="B82" s="8" t="s">
        <v>47</v>
      </c>
      <c r="C82" s="8">
        <v>1</v>
      </c>
      <c r="D82" s="6" t="s">
        <v>26</v>
      </c>
      <c r="E82" s="17">
        <v>1000</v>
      </c>
      <c r="F82" s="10">
        <f aca="true" t="shared" si="46" ref="F82:Q82">IF(E82+F81-F80&gt;0,E82+F81-F80,0)</f>
        <v>1000</v>
      </c>
      <c r="G82" s="10">
        <f t="shared" si="46"/>
        <v>50</v>
      </c>
      <c r="H82" s="10">
        <f t="shared" si="46"/>
        <v>0</v>
      </c>
      <c r="I82" s="10">
        <f t="shared" si="46"/>
        <v>0</v>
      </c>
      <c r="J82" s="10">
        <f t="shared" si="46"/>
        <v>0</v>
      </c>
      <c r="K82" s="10">
        <f t="shared" si="46"/>
        <v>0</v>
      </c>
      <c r="L82" s="10">
        <f t="shared" si="46"/>
        <v>0</v>
      </c>
      <c r="M82" s="10">
        <f t="shared" si="46"/>
        <v>0</v>
      </c>
      <c r="N82" s="10">
        <f t="shared" si="46"/>
        <v>0</v>
      </c>
      <c r="O82" s="10">
        <f t="shared" si="46"/>
        <v>0</v>
      </c>
      <c r="P82" s="10">
        <f t="shared" si="46"/>
        <v>0</v>
      </c>
      <c r="Q82" s="10">
        <f t="shared" si="46"/>
        <v>0</v>
      </c>
      <c r="R82" s="3" t="s">
        <v>27</v>
      </c>
      <c r="S82" s="12">
        <f>PQR_Interest*PQR_Cost8</f>
        <v>0.06</v>
      </c>
    </row>
    <row r="83" spans="1:19" ht="12.75">
      <c r="A83" s="3"/>
      <c r="B83" s="8" t="s">
        <v>48</v>
      </c>
      <c r="C83" s="8">
        <v>1</v>
      </c>
      <c r="D83" s="6" t="s">
        <v>28</v>
      </c>
      <c r="E83" s="13"/>
      <c r="F83" s="10">
        <f aca="true" t="shared" si="47" ref="F83:Q83">IF(F82&gt;0,0,F80-F81-E82)</f>
        <v>0</v>
      </c>
      <c r="G83" s="10">
        <f t="shared" si="47"/>
        <v>0</v>
      </c>
      <c r="H83" s="10">
        <f t="shared" si="47"/>
        <v>230</v>
      </c>
      <c r="I83" s="10">
        <f t="shared" si="47"/>
        <v>0</v>
      </c>
      <c r="J83" s="10">
        <f t="shared" si="47"/>
        <v>940</v>
      </c>
      <c r="K83" s="10">
        <f t="shared" si="47"/>
        <v>220</v>
      </c>
      <c r="L83" s="10">
        <f t="shared" si="47"/>
        <v>0</v>
      </c>
      <c r="M83" s="10">
        <f t="shared" si="47"/>
        <v>1070</v>
      </c>
      <c r="N83" s="10">
        <f t="shared" si="47"/>
        <v>230</v>
      </c>
      <c r="O83" s="10">
        <f t="shared" si="47"/>
        <v>0</v>
      </c>
      <c r="P83" s="10">
        <f t="shared" si="47"/>
        <v>220</v>
      </c>
      <c r="Q83" s="10">
        <f t="shared" si="47"/>
        <v>0</v>
      </c>
      <c r="R83" s="3" t="s">
        <v>29</v>
      </c>
      <c r="S83" s="12">
        <f>(SUM(PQR_Part8_WIP)+SUM(PQR_Part8_OH))/PQR_Horizon</f>
        <v>367.5</v>
      </c>
    </row>
    <row r="84" spans="1:19" ht="12.75">
      <c r="A84" s="3" t="s">
        <v>30</v>
      </c>
      <c r="B84" s="4"/>
      <c r="C84" s="8">
        <v>1</v>
      </c>
      <c r="D84" s="6" t="s">
        <v>31</v>
      </c>
      <c r="E84" s="13"/>
      <c r="F84" s="10">
        <f ca="1">IF(E86-F80+F81&lt;0,SUM(F83:OFFSET(F83,0,MIN(PQR_Lot8-1,PQR_Horizon-F79))),0)</f>
        <v>0</v>
      </c>
      <c r="G84" s="10">
        <f ca="1">IF(F86-G80+G81&lt;0,SUM(G83:OFFSET(G83,0,MIN(PQR_Lot8-1,PQR_Horizon-G79))),0)</f>
        <v>0</v>
      </c>
      <c r="H84" s="10">
        <f ca="1">IF(G86-H80+H81&lt;0,SUM(H83:OFFSET(H83,0,MIN(PQR_Lot8-1,PQR_Horizon-H79))),0)</f>
        <v>230</v>
      </c>
      <c r="I84" s="10">
        <f ca="1">IF(H86-I80+I81&lt;0,SUM(I83:OFFSET(I83,0,MIN(PQR_Lot8-1,PQR_Horizon-I79))),0)</f>
        <v>0</v>
      </c>
      <c r="J84" s="10">
        <f ca="1">IF(I86-J80+J81&lt;0,SUM(J83:OFFSET(J83,0,MIN(PQR_Lot8-1,PQR_Horizon-J79))),0)</f>
        <v>1160</v>
      </c>
      <c r="K84" s="10">
        <f ca="1">IF(J86-K80+K81&lt;0,SUM(K83:OFFSET(K83,0,MIN(PQR_Lot8-1,PQR_Horizon-K79))),0)</f>
        <v>0</v>
      </c>
      <c r="L84" s="10">
        <f ca="1">IF(K86-L80+L81&lt;0,SUM(L83:OFFSET(L83,0,MIN(PQR_Lot8-1,PQR_Horizon-L79))),0)</f>
        <v>0</v>
      </c>
      <c r="M84" s="10">
        <f ca="1">IF(L86-M80+M81&lt;0,SUM(M83:OFFSET(M83,0,MIN(PQR_Lot8-1,PQR_Horizon-M79))),0)</f>
        <v>1300</v>
      </c>
      <c r="N84" s="10">
        <f ca="1">IF(M86-N80+N81&lt;0,SUM(N83:OFFSET(N83,0,MIN(PQR_Lot8-1,PQR_Horizon-N79))),0)</f>
        <v>0</v>
      </c>
      <c r="O84" s="10">
        <f ca="1">IF(N86-O80+O81&lt;0,SUM(O83:OFFSET(O83,0,MIN(PQR_Lot8-1,PQR_Horizon-O79))),0)</f>
        <v>0</v>
      </c>
      <c r="P84" s="10">
        <f ca="1">IF(O86-P80+P81&lt;0,SUM(P83:OFFSET(P83,0,MIN(PQR_Lot8-1,PQR_Horizon-P79))),0)</f>
        <v>220</v>
      </c>
      <c r="Q84" s="10">
        <f ca="1">IF(P86-Q80+Q81&lt;0,SUM(Q83:OFFSET(Q83,0,MIN(PQR_Lot8-1,PQR_Horizon-Q79))),0)</f>
        <v>0</v>
      </c>
      <c r="R84" s="3" t="s">
        <v>32</v>
      </c>
      <c r="S84" s="12">
        <f>(COUNTIF(PQR_Part8_Rel,"&gt;0"))/PQR_Horizon</f>
        <v>0.3333333333333333</v>
      </c>
    </row>
    <row r="85" spans="1:19" ht="12.75">
      <c r="A85" s="3" t="s">
        <v>33</v>
      </c>
      <c r="B85" s="4" t="s">
        <v>34</v>
      </c>
      <c r="C85" s="8">
        <v>2</v>
      </c>
      <c r="D85" s="6" t="s">
        <v>35</v>
      </c>
      <c r="E85" s="15">
        <f>SUM(PQR_Part8_Rec)-SUM(PQR_Part8_Rel)</f>
        <v>0</v>
      </c>
      <c r="F85" s="10">
        <f>IF(F79+PQR_Lead8&lt;=PQR_Horizon,INDEX(PQR_Part8_Rec,1,F79+PQR_Lead8),0)</f>
        <v>0</v>
      </c>
      <c r="G85" s="10">
        <f aca="true" t="shared" si="48" ref="G85:Q85">IF(G79+PQR_Lead8&lt;=PQR_Horizon,INDEX(PQR_Part8_Rec,1,G79+PQR_Lead8),0)</f>
        <v>230</v>
      </c>
      <c r="H85" s="10">
        <f t="shared" si="48"/>
        <v>0</v>
      </c>
      <c r="I85" s="10">
        <f t="shared" si="48"/>
        <v>1160</v>
      </c>
      <c r="J85" s="10">
        <f t="shared" si="48"/>
        <v>0</v>
      </c>
      <c r="K85" s="10">
        <f t="shared" si="48"/>
        <v>0</v>
      </c>
      <c r="L85" s="10">
        <f t="shared" si="48"/>
        <v>1300</v>
      </c>
      <c r="M85" s="10">
        <f t="shared" si="48"/>
        <v>0</v>
      </c>
      <c r="N85" s="10">
        <f t="shared" si="48"/>
        <v>0</v>
      </c>
      <c r="O85" s="10">
        <f t="shared" si="48"/>
        <v>220</v>
      </c>
      <c r="P85" s="10">
        <f t="shared" si="48"/>
        <v>0</v>
      </c>
      <c r="Q85" s="10">
        <f t="shared" si="48"/>
        <v>0</v>
      </c>
      <c r="R85" s="3" t="s">
        <v>36</v>
      </c>
      <c r="S85" s="12">
        <f>S83*PQR_h8+S84*PQR_A8</f>
        <v>55.383333333333326</v>
      </c>
    </row>
    <row r="86" spans="1:19" ht="12.75">
      <c r="A86" s="3" t="s">
        <v>37</v>
      </c>
      <c r="C86" s="9">
        <v>0</v>
      </c>
      <c r="D86" s="6" t="s">
        <v>38</v>
      </c>
      <c r="E86" s="16">
        <f>E82</f>
        <v>1000</v>
      </c>
      <c r="F86" s="10">
        <f aca="true" t="shared" si="49" ref="F86:Q86">E86-F80+F84+F81</f>
        <v>1000</v>
      </c>
      <c r="G86" s="10">
        <f t="shared" si="49"/>
        <v>50</v>
      </c>
      <c r="H86" s="10">
        <f t="shared" si="49"/>
        <v>0</v>
      </c>
      <c r="I86" s="10">
        <f t="shared" si="49"/>
        <v>0</v>
      </c>
      <c r="J86" s="10">
        <f t="shared" si="49"/>
        <v>220</v>
      </c>
      <c r="K86" s="10">
        <f t="shared" si="49"/>
        <v>0</v>
      </c>
      <c r="L86" s="10">
        <f t="shared" si="49"/>
        <v>0</v>
      </c>
      <c r="M86" s="10">
        <f t="shared" si="49"/>
        <v>230</v>
      </c>
      <c r="N86" s="10">
        <f t="shared" si="49"/>
        <v>0</v>
      </c>
      <c r="O86" s="10">
        <f t="shared" si="49"/>
        <v>0</v>
      </c>
      <c r="P86" s="10">
        <f t="shared" si="49"/>
        <v>0</v>
      </c>
      <c r="Q86" s="10">
        <f t="shared" si="49"/>
        <v>0</v>
      </c>
      <c r="R86" s="3" t="s">
        <v>39</v>
      </c>
      <c r="S86" s="12">
        <f>ROUND(SQRT(2*PQR_Part_D8*PQR_A8/PQR_h8),0)</f>
        <v>1238</v>
      </c>
    </row>
    <row r="87" spans="1:19" ht="12.75">
      <c r="A87" s="3" t="s">
        <v>40</v>
      </c>
      <c r="C87" s="10">
        <f>C86+INDEX(PQR_BOM8,1,2)*PQR_Cost10+INDEX(PQR_BOM8,2,2)*PQR_Cost11+INDEX(PQR_BOM8,3,2)*PQR_Cost12</f>
        <v>60</v>
      </c>
      <c r="D87" s="6" t="s">
        <v>41</v>
      </c>
      <c r="E87" s="15">
        <f>E85</f>
        <v>0</v>
      </c>
      <c r="F87" s="10">
        <f aca="true" t="shared" si="50" ref="F87:Q87">E87+F85-F84</f>
        <v>0</v>
      </c>
      <c r="G87" s="10">
        <f t="shared" si="50"/>
        <v>230</v>
      </c>
      <c r="H87" s="10">
        <f t="shared" si="50"/>
        <v>0</v>
      </c>
      <c r="I87" s="10">
        <f t="shared" si="50"/>
        <v>1160</v>
      </c>
      <c r="J87" s="10">
        <f t="shared" si="50"/>
        <v>0</v>
      </c>
      <c r="K87" s="10">
        <f t="shared" si="50"/>
        <v>0</v>
      </c>
      <c r="L87" s="10">
        <f t="shared" si="50"/>
        <v>1300</v>
      </c>
      <c r="M87" s="10">
        <f t="shared" si="50"/>
        <v>0</v>
      </c>
      <c r="N87" s="10">
        <f t="shared" si="50"/>
        <v>0</v>
      </c>
      <c r="O87" s="10">
        <f t="shared" si="50"/>
        <v>220</v>
      </c>
      <c r="P87" s="10">
        <f t="shared" si="50"/>
        <v>0</v>
      </c>
      <c r="Q87" s="10">
        <f t="shared" si="50"/>
        <v>0</v>
      </c>
      <c r="R87" s="3" t="s">
        <v>42</v>
      </c>
      <c r="S87" s="12">
        <f>MAX(1,ROUND(S86/PQR_Part_D8,0))</f>
        <v>3</v>
      </c>
    </row>
    <row r="89" spans="1:19" ht="12.75">
      <c r="A89" s="3" t="s">
        <v>16</v>
      </c>
      <c r="B89" s="4"/>
      <c r="C89" s="8">
        <v>150</v>
      </c>
      <c r="D89" s="6" t="s">
        <v>17</v>
      </c>
      <c r="E89" s="13"/>
      <c r="F89" s="8">
        <v>1</v>
      </c>
      <c r="G89" s="8">
        <v>2</v>
      </c>
      <c r="H89" s="8">
        <v>3</v>
      </c>
      <c r="I89" s="8">
        <v>4</v>
      </c>
      <c r="J89" s="8">
        <v>5</v>
      </c>
      <c r="K89" s="8">
        <v>6</v>
      </c>
      <c r="L89" s="8">
        <v>7</v>
      </c>
      <c r="M89" s="8">
        <v>8</v>
      </c>
      <c r="N89" s="8">
        <v>9</v>
      </c>
      <c r="O89" s="8">
        <v>10</v>
      </c>
      <c r="P89" s="8">
        <v>11</v>
      </c>
      <c r="Q89" s="8">
        <v>12</v>
      </c>
      <c r="R89" s="3" t="s">
        <v>18</v>
      </c>
      <c r="S89" s="12">
        <f>$C89</f>
        <v>150</v>
      </c>
    </row>
    <row r="90" spans="1:19" ht="12.75">
      <c r="A90" s="3" t="s">
        <v>19</v>
      </c>
      <c r="B90" s="4"/>
      <c r="C90" s="8">
        <f>MAX(PQR_Level3)+1</f>
        <v>2</v>
      </c>
      <c r="D90" s="6" t="s">
        <v>20</v>
      </c>
      <c r="E90" s="13"/>
      <c r="F90" s="10">
        <f aca="true" t="shared" si="51" ref="F90:Q90">INDEX(PQR_BOM3,2,2)*PQR_Part3_Rel</f>
        <v>0</v>
      </c>
      <c r="G90" s="10">
        <f t="shared" si="51"/>
        <v>230</v>
      </c>
      <c r="H90" s="10">
        <f t="shared" si="51"/>
        <v>0</v>
      </c>
      <c r="I90" s="10">
        <f t="shared" si="51"/>
        <v>0</v>
      </c>
      <c r="J90" s="10">
        <f t="shared" si="51"/>
        <v>310</v>
      </c>
      <c r="K90" s="10">
        <f t="shared" si="51"/>
        <v>0</v>
      </c>
      <c r="L90" s="10">
        <f t="shared" si="51"/>
        <v>0</v>
      </c>
      <c r="M90" s="10">
        <f t="shared" si="51"/>
        <v>350</v>
      </c>
      <c r="N90" s="10">
        <f t="shared" si="51"/>
        <v>0</v>
      </c>
      <c r="O90" s="10">
        <f t="shared" si="51"/>
        <v>0</v>
      </c>
      <c r="P90" s="10">
        <f t="shared" si="51"/>
        <v>110</v>
      </c>
      <c r="Q90" s="10">
        <f t="shared" si="51"/>
        <v>0</v>
      </c>
      <c r="R90" s="3" t="s">
        <v>21</v>
      </c>
      <c r="S90" s="12">
        <f>INDEX(PQR_BOM3,2,2)*PQR_Part_D3</f>
        <v>104.16666666666666</v>
      </c>
    </row>
    <row r="91" spans="1:19" ht="12.75">
      <c r="A91" s="3" t="s">
        <v>22</v>
      </c>
      <c r="B91" s="8" t="s">
        <v>46</v>
      </c>
      <c r="C91" s="8">
        <v>0</v>
      </c>
      <c r="D91" s="6" t="s">
        <v>24</v>
      </c>
      <c r="E91" s="13"/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3" t="s">
        <v>25</v>
      </c>
      <c r="S91" s="3">
        <v>100</v>
      </c>
    </row>
    <row r="92" spans="1:19" ht="12.75">
      <c r="A92" s="3"/>
      <c r="B92" s="8" t="s">
        <v>47</v>
      </c>
      <c r="C92" s="8">
        <v>1</v>
      </c>
      <c r="D92" s="6" t="s">
        <v>26</v>
      </c>
      <c r="E92" s="17">
        <v>100</v>
      </c>
      <c r="F92" s="10">
        <f aca="true" t="shared" si="52" ref="F92:Q92">IF(E92+F91-F90&gt;0,E92+F91-F90,0)</f>
        <v>100</v>
      </c>
      <c r="G92" s="10">
        <f t="shared" si="52"/>
        <v>0</v>
      </c>
      <c r="H92" s="10">
        <f t="shared" si="52"/>
        <v>0</v>
      </c>
      <c r="I92" s="10">
        <f t="shared" si="52"/>
        <v>0</v>
      </c>
      <c r="J92" s="10">
        <f t="shared" si="52"/>
        <v>0</v>
      </c>
      <c r="K92" s="10">
        <f t="shared" si="52"/>
        <v>0</v>
      </c>
      <c r="L92" s="10">
        <f t="shared" si="52"/>
        <v>0</v>
      </c>
      <c r="M92" s="10">
        <f t="shared" si="52"/>
        <v>0</v>
      </c>
      <c r="N92" s="10">
        <f t="shared" si="52"/>
        <v>0</v>
      </c>
      <c r="O92" s="10">
        <f t="shared" si="52"/>
        <v>0</v>
      </c>
      <c r="P92" s="10">
        <f t="shared" si="52"/>
        <v>0</v>
      </c>
      <c r="Q92" s="10">
        <f t="shared" si="52"/>
        <v>0</v>
      </c>
      <c r="R92" s="3" t="s">
        <v>27</v>
      </c>
      <c r="S92" s="12">
        <f>PQR_Interest*PQR_Cost9</f>
        <v>0.08</v>
      </c>
    </row>
    <row r="93" spans="1:19" ht="12.75">
      <c r="A93" s="3"/>
      <c r="B93" s="8" t="s">
        <v>48</v>
      </c>
      <c r="C93" s="8">
        <v>3</v>
      </c>
      <c r="D93" s="6" t="s">
        <v>28</v>
      </c>
      <c r="E93" s="13"/>
      <c r="F93" s="10">
        <f aca="true" t="shared" si="53" ref="F93:Q93">IF(F92&gt;0,0,F90-F91-E92)</f>
        <v>0</v>
      </c>
      <c r="G93" s="10">
        <f t="shared" si="53"/>
        <v>130</v>
      </c>
      <c r="H93" s="10">
        <f t="shared" si="53"/>
        <v>0</v>
      </c>
      <c r="I93" s="10">
        <f t="shared" si="53"/>
        <v>0</v>
      </c>
      <c r="J93" s="10">
        <f t="shared" si="53"/>
        <v>310</v>
      </c>
      <c r="K93" s="10">
        <f t="shared" si="53"/>
        <v>0</v>
      </c>
      <c r="L93" s="10">
        <f t="shared" si="53"/>
        <v>0</v>
      </c>
      <c r="M93" s="10">
        <f t="shared" si="53"/>
        <v>350</v>
      </c>
      <c r="N93" s="10">
        <f t="shared" si="53"/>
        <v>0</v>
      </c>
      <c r="O93" s="10">
        <f t="shared" si="53"/>
        <v>0</v>
      </c>
      <c r="P93" s="10">
        <f t="shared" si="53"/>
        <v>110</v>
      </c>
      <c r="Q93" s="10">
        <f t="shared" si="53"/>
        <v>0</v>
      </c>
      <c r="R93" s="3" t="s">
        <v>29</v>
      </c>
      <c r="S93" s="12">
        <f>(SUM(PQR_Part9_WIP)+SUM(PQR_Part9_OH))/PQR_Horizon</f>
        <v>83.33333333333333</v>
      </c>
    </row>
    <row r="94" spans="1:19" ht="12.75">
      <c r="A94" s="3" t="s">
        <v>30</v>
      </c>
      <c r="B94" s="4"/>
      <c r="C94" s="8">
        <v>1</v>
      </c>
      <c r="D94" s="6" t="s">
        <v>31</v>
      </c>
      <c r="E94" s="13"/>
      <c r="F94" s="10">
        <f aca="true" t="shared" si="54" ref="F94:Q94">F93</f>
        <v>0</v>
      </c>
      <c r="G94" s="10">
        <f t="shared" si="54"/>
        <v>130</v>
      </c>
      <c r="H94" s="10">
        <f t="shared" si="54"/>
        <v>0</v>
      </c>
      <c r="I94" s="10">
        <f t="shared" si="54"/>
        <v>0</v>
      </c>
      <c r="J94" s="10">
        <f t="shared" si="54"/>
        <v>310</v>
      </c>
      <c r="K94" s="10">
        <f t="shared" si="54"/>
        <v>0</v>
      </c>
      <c r="L94" s="10">
        <f t="shared" si="54"/>
        <v>0</v>
      </c>
      <c r="M94" s="10">
        <f t="shared" si="54"/>
        <v>350</v>
      </c>
      <c r="N94" s="10">
        <f t="shared" si="54"/>
        <v>0</v>
      </c>
      <c r="O94" s="10">
        <f t="shared" si="54"/>
        <v>0</v>
      </c>
      <c r="P94" s="10">
        <f t="shared" si="54"/>
        <v>110</v>
      </c>
      <c r="Q94" s="10">
        <f t="shared" si="54"/>
        <v>0</v>
      </c>
      <c r="R94" s="3" t="s">
        <v>32</v>
      </c>
      <c r="S94" s="12">
        <f>(COUNTIF(PQR_Part9_Rel,"&gt;0"))/PQR_Horizon</f>
        <v>0.3333333333333333</v>
      </c>
    </row>
    <row r="95" spans="1:19" ht="12.75">
      <c r="A95" s="3" t="s">
        <v>33</v>
      </c>
      <c r="B95" s="4" t="s">
        <v>45</v>
      </c>
      <c r="C95" s="8">
        <v>1</v>
      </c>
      <c r="D95" s="6" t="s">
        <v>35</v>
      </c>
      <c r="E95" s="15">
        <f>SUM(PQR_Part9_Rec)-SUM(PQR_Part9_Rel)</f>
        <v>0</v>
      </c>
      <c r="F95" s="10">
        <f>IF(F89+PQR_Lead9&lt;=PQR_Horizon,INDEX(PQR_Part9_Rec,1,F89+PQR_Lead9),0)</f>
        <v>130</v>
      </c>
      <c r="G95" s="10">
        <f aca="true" t="shared" si="55" ref="G95:Q95">IF(G89+PQR_Lead9&lt;=PQR_Horizon,INDEX(PQR_Part9_Rec,1,G89+PQR_Lead9),0)</f>
        <v>0</v>
      </c>
      <c r="H95" s="10">
        <f t="shared" si="55"/>
        <v>0</v>
      </c>
      <c r="I95" s="10">
        <f t="shared" si="55"/>
        <v>310</v>
      </c>
      <c r="J95" s="10">
        <f t="shared" si="55"/>
        <v>0</v>
      </c>
      <c r="K95" s="10">
        <f t="shared" si="55"/>
        <v>0</v>
      </c>
      <c r="L95" s="10">
        <f t="shared" si="55"/>
        <v>350</v>
      </c>
      <c r="M95" s="10">
        <f t="shared" si="55"/>
        <v>0</v>
      </c>
      <c r="N95" s="10">
        <f t="shared" si="55"/>
        <v>0</v>
      </c>
      <c r="O95" s="10">
        <f t="shared" si="55"/>
        <v>110</v>
      </c>
      <c r="P95" s="10">
        <f t="shared" si="55"/>
        <v>0</v>
      </c>
      <c r="Q95" s="10">
        <f t="shared" si="55"/>
        <v>0</v>
      </c>
      <c r="R95" s="3" t="s">
        <v>36</v>
      </c>
      <c r="S95" s="12">
        <f>S93*PQR_h9+S94*PQR_A9</f>
        <v>39.99999999999999</v>
      </c>
    </row>
    <row r="96" spans="1:19" ht="12.75">
      <c r="A96" s="3" t="s">
        <v>37</v>
      </c>
      <c r="C96" s="9">
        <v>0</v>
      </c>
      <c r="D96" s="6" t="s">
        <v>38</v>
      </c>
      <c r="E96" s="16">
        <f>E92</f>
        <v>100</v>
      </c>
      <c r="F96" s="10">
        <f aca="true" t="shared" si="56" ref="F96:Q96">E96-F90+F94+F91</f>
        <v>100</v>
      </c>
      <c r="G96" s="10">
        <f t="shared" si="56"/>
        <v>0</v>
      </c>
      <c r="H96" s="10">
        <f t="shared" si="56"/>
        <v>0</v>
      </c>
      <c r="I96" s="10">
        <f t="shared" si="56"/>
        <v>0</v>
      </c>
      <c r="J96" s="10">
        <f t="shared" si="56"/>
        <v>0</v>
      </c>
      <c r="K96" s="10">
        <f t="shared" si="56"/>
        <v>0</v>
      </c>
      <c r="L96" s="10">
        <f t="shared" si="56"/>
        <v>0</v>
      </c>
      <c r="M96" s="10">
        <f t="shared" si="56"/>
        <v>0</v>
      </c>
      <c r="N96" s="10">
        <f t="shared" si="56"/>
        <v>0</v>
      </c>
      <c r="O96" s="10">
        <f t="shared" si="56"/>
        <v>0</v>
      </c>
      <c r="P96" s="10">
        <f t="shared" si="56"/>
        <v>0</v>
      </c>
      <c r="Q96" s="10">
        <f t="shared" si="56"/>
        <v>0</v>
      </c>
      <c r="R96" s="3" t="s">
        <v>39</v>
      </c>
      <c r="S96" s="12">
        <f>ROUND(SQRT(2*PQR_Part_D9*PQR_A9/PQR_h9),0)</f>
        <v>510</v>
      </c>
    </row>
    <row r="97" spans="1:19" ht="12.75">
      <c r="A97" s="3" t="s">
        <v>40</v>
      </c>
      <c r="C97" s="10">
        <f>C96+INDEX(PQR_BOM9,2,2)*PQR_Cost11+INDEX(PQR_BOM9,3,2)*PQR_Cost12</f>
        <v>80</v>
      </c>
      <c r="D97" s="6" t="s">
        <v>41</v>
      </c>
      <c r="E97" s="15">
        <f>E95</f>
        <v>0</v>
      </c>
      <c r="F97" s="10">
        <f aca="true" t="shared" si="57" ref="F97:Q97">E97+F95-F94</f>
        <v>130</v>
      </c>
      <c r="G97" s="10">
        <f t="shared" si="57"/>
        <v>0</v>
      </c>
      <c r="H97" s="10">
        <f t="shared" si="57"/>
        <v>0</v>
      </c>
      <c r="I97" s="10">
        <f t="shared" si="57"/>
        <v>310</v>
      </c>
      <c r="J97" s="10">
        <f t="shared" si="57"/>
        <v>0</v>
      </c>
      <c r="K97" s="10">
        <f t="shared" si="57"/>
        <v>0</v>
      </c>
      <c r="L97" s="10">
        <f t="shared" si="57"/>
        <v>350</v>
      </c>
      <c r="M97" s="10">
        <f t="shared" si="57"/>
        <v>0</v>
      </c>
      <c r="N97" s="10">
        <f t="shared" si="57"/>
        <v>0</v>
      </c>
      <c r="O97" s="10">
        <f t="shared" si="57"/>
        <v>110</v>
      </c>
      <c r="P97" s="10">
        <f t="shared" si="57"/>
        <v>0</v>
      </c>
      <c r="Q97" s="10">
        <f t="shared" si="57"/>
        <v>0</v>
      </c>
      <c r="R97" s="3" t="s">
        <v>42</v>
      </c>
      <c r="S97" s="12">
        <f>MAX(1,ROUND(S96/PQR_Part_D9,0))</f>
        <v>5</v>
      </c>
    </row>
    <row r="99" spans="1:19" ht="12.75">
      <c r="A99" s="3" t="s">
        <v>16</v>
      </c>
      <c r="B99" s="4"/>
      <c r="C99" s="8" t="s">
        <v>46</v>
      </c>
      <c r="D99" s="6" t="s">
        <v>17</v>
      </c>
      <c r="E99" s="13"/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8">
        <v>7</v>
      </c>
      <c r="M99" s="8">
        <v>8</v>
      </c>
      <c r="N99" s="8">
        <v>9</v>
      </c>
      <c r="O99" s="8">
        <v>10</v>
      </c>
      <c r="P99" s="8">
        <v>11</v>
      </c>
      <c r="Q99" s="8">
        <v>12</v>
      </c>
      <c r="R99" s="3" t="s">
        <v>18</v>
      </c>
      <c r="S99" s="12" t="str">
        <f>$C99</f>
        <v>RM1</v>
      </c>
    </row>
    <row r="100" spans="1:19" ht="12.75">
      <c r="A100" s="3" t="s">
        <v>19</v>
      </c>
      <c r="B100" s="4"/>
      <c r="C100" s="8">
        <f>MAX(PQR_Level7,PQR_Level8)+1</f>
        <v>3</v>
      </c>
      <c r="D100" s="6" t="s">
        <v>20</v>
      </c>
      <c r="E100" s="13"/>
      <c r="F100" s="10">
        <f aca="true" t="shared" si="58" ref="F100:Q100">INDEX(PQR_BOM7,1,2)*PQR_Part7_Rel+INDEX(PQR_BOM8,1,2)*PQR_Part8_Rel</f>
        <v>0</v>
      </c>
      <c r="G100" s="10">
        <f t="shared" si="58"/>
        <v>640</v>
      </c>
      <c r="H100" s="10">
        <f t="shared" si="58"/>
        <v>0</v>
      </c>
      <c r="I100" s="10">
        <f t="shared" si="58"/>
        <v>1160</v>
      </c>
      <c r="J100" s="10">
        <f t="shared" si="58"/>
        <v>440</v>
      </c>
      <c r="K100" s="10">
        <f t="shared" si="58"/>
        <v>0</v>
      </c>
      <c r="L100" s="10">
        <f t="shared" si="58"/>
        <v>1300</v>
      </c>
      <c r="M100" s="10">
        <f t="shared" si="58"/>
        <v>460</v>
      </c>
      <c r="N100" s="10">
        <f t="shared" si="58"/>
        <v>0</v>
      </c>
      <c r="O100" s="10">
        <f t="shared" si="58"/>
        <v>220</v>
      </c>
      <c r="P100" s="10">
        <f t="shared" si="58"/>
        <v>0</v>
      </c>
      <c r="Q100" s="10">
        <f t="shared" si="58"/>
        <v>0</v>
      </c>
      <c r="R100" s="3" t="s">
        <v>21</v>
      </c>
      <c r="S100" s="12">
        <f>INDEX(PQR_BOM7,1,2)*PQR_Part_D7+INDEX(PQR_BOM8,1,2)*PQR_Part_D8</f>
        <v>670</v>
      </c>
    </row>
    <row r="101" spans="1:19" ht="12.75">
      <c r="A101" s="3" t="s">
        <v>22</v>
      </c>
      <c r="B101" s="8"/>
      <c r="C101" s="8"/>
      <c r="D101" s="6" t="s">
        <v>24</v>
      </c>
      <c r="E101" s="13"/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3" t="s">
        <v>25</v>
      </c>
      <c r="S101" s="3">
        <v>500</v>
      </c>
    </row>
    <row r="102" spans="1:19" ht="12.75">
      <c r="A102" s="3"/>
      <c r="B102" s="8"/>
      <c r="C102" s="8"/>
      <c r="D102" s="6" t="s">
        <v>26</v>
      </c>
      <c r="E102" s="17">
        <v>1000</v>
      </c>
      <c r="F102" s="10">
        <f aca="true" t="shared" si="59" ref="F102:Q102">IF(E102+F101-F100&gt;0,E102+F101-F100,0)</f>
        <v>1000</v>
      </c>
      <c r="G102" s="10">
        <f t="shared" si="59"/>
        <v>360</v>
      </c>
      <c r="H102" s="10">
        <f t="shared" si="59"/>
        <v>360</v>
      </c>
      <c r="I102" s="10">
        <f t="shared" si="59"/>
        <v>0</v>
      </c>
      <c r="J102" s="10">
        <f t="shared" si="59"/>
        <v>0</v>
      </c>
      <c r="K102" s="10">
        <f t="shared" si="59"/>
        <v>0</v>
      </c>
      <c r="L102" s="10">
        <f t="shared" si="59"/>
        <v>0</v>
      </c>
      <c r="M102" s="10">
        <f t="shared" si="59"/>
        <v>0</v>
      </c>
      <c r="N102" s="10">
        <f t="shared" si="59"/>
        <v>0</v>
      </c>
      <c r="O102" s="10">
        <f t="shared" si="59"/>
        <v>0</v>
      </c>
      <c r="P102" s="10">
        <f t="shared" si="59"/>
        <v>0</v>
      </c>
      <c r="Q102" s="10">
        <f t="shared" si="59"/>
        <v>0</v>
      </c>
      <c r="R102" s="3" t="s">
        <v>27</v>
      </c>
      <c r="S102" s="12">
        <f>PQR_Interest*PQR_Cost10</f>
        <v>0.02</v>
      </c>
    </row>
    <row r="103" spans="1:19" ht="12.75">
      <c r="A103" s="3"/>
      <c r="B103" s="8"/>
      <c r="C103" s="8"/>
      <c r="D103" s="6" t="s">
        <v>28</v>
      </c>
      <c r="E103" s="13"/>
      <c r="F103" s="10">
        <f aca="true" t="shared" si="60" ref="F103:Q103">IF(F102&gt;0,0,F100-F101-E102)</f>
        <v>0</v>
      </c>
      <c r="G103" s="10">
        <f t="shared" si="60"/>
        <v>0</v>
      </c>
      <c r="H103" s="10">
        <f t="shared" si="60"/>
        <v>0</v>
      </c>
      <c r="I103" s="10">
        <f t="shared" si="60"/>
        <v>800</v>
      </c>
      <c r="J103" s="10">
        <f t="shared" si="60"/>
        <v>440</v>
      </c>
      <c r="K103" s="10">
        <f t="shared" si="60"/>
        <v>0</v>
      </c>
      <c r="L103" s="10">
        <f t="shared" si="60"/>
        <v>1300</v>
      </c>
      <c r="M103" s="10">
        <f t="shared" si="60"/>
        <v>460</v>
      </c>
      <c r="N103" s="10">
        <f t="shared" si="60"/>
        <v>0</v>
      </c>
      <c r="O103" s="10">
        <f t="shared" si="60"/>
        <v>220</v>
      </c>
      <c r="P103" s="10">
        <f t="shared" si="60"/>
        <v>0</v>
      </c>
      <c r="Q103" s="10">
        <f t="shared" si="60"/>
        <v>0</v>
      </c>
      <c r="R103" s="3" t="s">
        <v>29</v>
      </c>
      <c r="S103" s="12">
        <f>(SUM(PQR_Part10_WIP)+SUM(PQR_Part10_OH))/PQR_Horizon</f>
        <v>486.6666666666667</v>
      </c>
    </row>
    <row r="104" spans="1:19" ht="12.75">
      <c r="A104" s="3" t="s">
        <v>30</v>
      </c>
      <c r="B104" s="4"/>
      <c r="C104" s="8">
        <v>1</v>
      </c>
      <c r="D104" s="6" t="s">
        <v>31</v>
      </c>
      <c r="E104" s="13"/>
      <c r="F104" s="10">
        <f ca="1">IF(E106-F100+F101&lt;0,SUM(F103:OFFSET(F103,0,MIN(PQR_Lot10-1,PQR_Horizon-F99))),0)</f>
        <v>0</v>
      </c>
      <c r="G104" s="10">
        <f ca="1">IF(F106-G100+G101&lt;0,SUM(G103:OFFSET(G103,0,MIN(PQR_Lot10-1,PQR_Horizon-G99))),0)</f>
        <v>0</v>
      </c>
      <c r="H104" s="10">
        <f ca="1">IF(G106-H100+H101&lt;0,SUM(H103:OFFSET(H103,0,MIN(PQR_Lot10-1,PQR_Horizon-H99))),0)</f>
        <v>0</v>
      </c>
      <c r="I104" s="10">
        <f ca="1">IF(H106-I100+I101&lt;0,SUM(I103:OFFSET(I103,0,MIN(PQR_Lot10-1,PQR_Horizon-I99))),0)</f>
        <v>1240</v>
      </c>
      <c r="J104" s="10">
        <f ca="1">IF(I106-J100+J101&lt;0,SUM(J103:OFFSET(J103,0,MIN(PQR_Lot10-1,PQR_Horizon-J99))),0)</f>
        <v>0</v>
      </c>
      <c r="K104" s="10">
        <f ca="1">IF(J106-K100+K101&lt;0,SUM(K103:OFFSET(K103,0,MIN(PQR_Lot10-1,PQR_Horizon-K99))),0)</f>
        <v>0</v>
      </c>
      <c r="L104" s="10">
        <f ca="1">IF(K106-L100+L101&lt;0,SUM(L103:OFFSET(L103,0,MIN(PQR_Lot10-1,PQR_Horizon-L99))),0)</f>
        <v>1760</v>
      </c>
      <c r="M104" s="10">
        <f ca="1">IF(L106-M100+M101&lt;0,SUM(M103:OFFSET(M103,0,MIN(PQR_Lot10-1,PQR_Horizon-M99))),0)</f>
        <v>0</v>
      </c>
      <c r="N104" s="10">
        <f ca="1">IF(M106-N100+N101&lt;0,SUM(N103:OFFSET(N103,0,MIN(PQR_Lot10-1,PQR_Horizon-N99))),0)</f>
        <v>0</v>
      </c>
      <c r="O104" s="10">
        <f ca="1">IF(N106-O100+O101&lt;0,SUM(O103:OFFSET(O103,0,MIN(PQR_Lot10-1,PQR_Horizon-O99))),0)</f>
        <v>220</v>
      </c>
      <c r="P104" s="10">
        <f ca="1">IF(O106-P100+P101&lt;0,SUM(P103:OFFSET(P103,0,MIN(PQR_Lot10-1,PQR_Horizon-P99))),0)</f>
        <v>0</v>
      </c>
      <c r="Q104" s="10">
        <f ca="1">IF(P106-Q100+Q101&lt;0,SUM(Q103:OFFSET(Q103,0,MIN(PQR_Lot10-1,PQR_Horizon-Q99))),0)</f>
        <v>0</v>
      </c>
      <c r="R104" s="3" t="s">
        <v>32</v>
      </c>
      <c r="S104" s="12">
        <f>(COUNTIF(PQR_Part10_Rel,"&gt;0"))/PQR_Horizon</f>
        <v>0.25</v>
      </c>
    </row>
    <row r="105" spans="1:19" ht="12.75">
      <c r="A105" s="3" t="s">
        <v>33</v>
      </c>
      <c r="B105" s="4" t="s">
        <v>34</v>
      </c>
      <c r="C105" s="8">
        <v>3</v>
      </c>
      <c r="D105" s="6" t="s">
        <v>35</v>
      </c>
      <c r="E105" s="15">
        <f>SUM(PQR_Part10_Rec)-SUM(PQR_Part10_Rel)</f>
        <v>0</v>
      </c>
      <c r="F105" s="10">
        <f>IF(F99+PQR_Lead10&lt;=PQR_Horizon,INDEX(PQR_Part10_Rec,1,F99+PQR_Lead10),0)</f>
        <v>0</v>
      </c>
      <c r="G105" s="10">
        <f aca="true" t="shared" si="61" ref="G105:Q105">IF(G99+PQR_Lead10&lt;=PQR_Horizon,INDEX(PQR_Part10_Rec,1,G99+PQR_Lead10),0)</f>
        <v>0</v>
      </c>
      <c r="H105" s="10">
        <f t="shared" si="61"/>
        <v>1240</v>
      </c>
      <c r="I105" s="10">
        <f t="shared" si="61"/>
        <v>0</v>
      </c>
      <c r="J105" s="10">
        <f t="shared" si="61"/>
        <v>0</v>
      </c>
      <c r="K105" s="10">
        <f t="shared" si="61"/>
        <v>1760</v>
      </c>
      <c r="L105" s="10">
        <f t="shared" si="61"/>
        <v>0</v>
      </c>
      <c r="M105" s="10">
        <f t="shared" si="61"/>
        <v>0</v>
      </c>
      <c r="N105" s="10">
        <f t="shared" si="61"/>
        <v>220</v>
      </c>
      <c r="O105" s="10">
        <f t="shared" si="61"/>
        <v>0</v>
      </c>
      <c r="P105" s="10">
        <f t="shared" si="61"/>
        <v>0</v>
      </c>
      <c r="Q105" s="10">
        <f t="shared" si="61"/>
        <v>0</v>
      </c>
      <c r="R105" s="3" t="s">
        <v>36</v>
      </c>
      <c r="S105" s="12">
        <f>S103*PQR_h10+S104*PQR_A10</f>
        <v>134.73333333333335</v>
      </c>
    </row>
    <row r="106" spans="1:19" ht="12.75">
      <c r="A106" s="3" t="s">
        <v>37</v>
      </c>
      <c r="C106" s="9">
        <v>20</v>
      </c>
      <c r="D106" s="6" t="s">
        <v>38</v>
      </c>
      <c r="E106" s="16">
        <f>E102</f>
        <v>1000</v>
      </c>
      <c r="F106" s="10">
        <f aca="true" t="shared" si="62" ref="F106:Q106">E106-F100+F104+F101</f>
        <v>1000</v>
      </c>
      <c r="G106" s="10">
        <f t="shared" si="62"/>
        <v>360</v>
      </c>
      <c r="H106" s="10">
        <f t="shared" si="62"/>
        <v>360</v>
      </c>
      <c r="I106" s="10">
        <f t="shared" si="62"/>
        <v>440</v>
      </c>
      <c r="J106" s="10">
        <f t="shared" si="62"/>
        <v>0</v>
      </c>
      <c r="K106" s="10">
        <f t="shared" si="62"/>
        <v>0</v>
      </c>
      <c r="L106" s="10">
        <f t="shared" si="62"/>
        <v>460</v>
      </c>
      <c r="M106" s="10">
        <f t="shared" si="62"/>
        <v>0</v>
      </c>
      <c r="N106" s="10">
        <f t="shared" si="62"/>
        <v>0</v>
      </c>
      <c r="O106" s="10">
        <f t="shared" si="62"/>
        <v>0</v>
      </c>
      <c r="P106" s="10">
        <f t="shared" si="62"/>
        <v>0</v>
      </c>
      <c r="Q106" s="10">
        <f t="shared" si="62"/>
        <v>0</v>
      </c>
      <c r="R106" s="3" t="s">
        <v>39</v>
      </c>
      <c r="S106" s="12">
        <f>ROUND(SQRT(2*PQR_Part_D10*PQR_A10/PQR_h10),0)</f>
        <v>5788</v>
      </c>
    </row>
    <row r="107" spans="1:19" ht="12.75">
      <c r="A107" s="3" t="s">
        <v>40</v>
      </c>
      <c r="C107" s="10">
        <f>C106</f>
        <v>20</v>
      </c>
      <c r="D107" s="6" t="s">
        <v>41</v>
      </c>
      <c r="E107" s="15">
        <f>E105</f>
        <v>0</v>
      </c>
      <c r="F107" s="10">
        <f aca="true" t="shared" si="63" ref="F107:Q107">E107+F105-F104</f>
        <v>0</v>
      </c>
      <c r="G107" s="10">
        <f t="shared" si="63"/>
        <v>0</v>
      </c>
      <c r="H107" s="10">
        <f t="shared" si="63"/>
        <v>1240</v>
      </c>
      <c r="I107" s="10">
        <f t="shared" si="63"/>
        <v>0</v>
      </c>
      <c r="J107" s="10">
        <f t="shared" si="63"/>
        <v>0</v>
      </c>
      <c r="K107" s="10">
        <f t="shared" si="63"/>
        <v>1760</v>
      </c>
      <c r="L107" s="10">
        <f t="shared" si="63"/>
        <v>0</v>
      </c>
      <c r="M107" s="10">
        <f t="shared" si="63"/>
        <v>0</v>
      </c>
      <c r="N107" s="10">
        <f t="shared" si="63"/>
        <v>220</v>
      </c>
      <c r="O107" s="10">
        <f t="shared" si="63"/>
        <v>0</v>
      </c>
      <c r="P107" s="10">
        <f t="shared" si="63"/>
        <v>0</v>
      </c>
      <c r="Q107" s="10">
        <f t="shared" si="63"/>
        <v>0</v>
      </c>
      <c r="R107" s="3" t="s">
        <v>42</v>
      </c>
      <c r="S107" s="12">
        <f>MAX(1,ROUND(S106/PQR_Part_D10,0))</f>
        <v>9</v>
      </c>
    </row>
    <row r="109" spans="1:19" ht="12.75">
      <c r="A109" s="3" t="s">
        <v>16</v>
      </c>
      <c r="B109" s="4"/>
      <c r="C109" s="8" t="s">
        <v>47</v>
      </c>
      <c r="D109" s="6" t="s">
        <v>17</v>
      </c>
      <c r="E109" s="13"/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8">
        <v>7</v>
      </c>
      <c r="M109" s="8">
        <v>8</v>
      </c>
      <c r="N109" s="8">
        <v>9</v>
      </c>
      <c r="O109" s="8">
        <v>10</v>
      </c>
      <c r="P109" s="8">
        <v>11</v>
      </c>
      <c r="Q109" s="8">
        <v>12</v>
      </c>
      <c r="R109" s="3" t="s">
        <v>18</v>
      </c>
      <c r="S109" s="12" t="str">
        <f>$C109</f>
        <v>RM2</v>
      </c>
    </row>
    <row r="110" spans="1:19" ht="12.75">
      <c r="A110" s="3" t="s">
        <v>19</v>
      </c>
      <c r="B110" s="4"/>
      <c r="C110" s="8">
        <f>MAX(PQR_Level7,PQR_Level8,PQR_Level9)+1</f>
        <v>3</v>
      </c>
      <c r="D110" s="6" t="s">
        <v>20</v>
      </c>
      <c r="E110" s="13"/>
      <c r="F110" s="10">
        <f aca="true" t="shared" si="64" ref="F110:Q110">INDEX(PQR_BOM7,2,2)*PQR_Part7_Rel+INDEX(PQR_BOM8,2,2)*PQR_Part8_Rel+INDEX(PQR_BOM9,2,2)*PQR_Part9_Rel</f>
        <v>130</v>
      </c>
      <c r="G110" s="10">
        <f t="shared" si="64"/>
        <v>640</v>
      </c>
      <c r="H110" s="10">
        <f t="shared" si="64"/>
        <v>0</v>
      </c>
      <c r="I110" s="10">
        <f t="shared" si="64"/>
        <v>1470</v>
      </c>
      <c r="J110" s="10">
        <f t="shared" si="64"/>
        <v>440</v>
      </c>
      <c r="K110" s="10">
        <f t="shared" si="64"/>
        <v>0</v>
      </c>
      <c r="L110" s="10">
        <f t="shared" si="64"/>
        <v>1650</v>
      </c>
      <c r="M110" s="10">
        <f t="shared" si="64"/>
        <v>460</v>
      </c>
      <c r="N110" s="10">
        <f t="shared" si="64"/>
        <v>0</v>
      </c>
      <c r="O110" s="10">
        <f t="shared" si="64"/>
        <v>330</v>
      </c>
      <c r="P110" s="10">
        <f t="shared" si="64"/>
        <v>0</v>
      </c>
      <c r="Q110" s="10">
        <f t="shared" si="64"/>
        <v>0</v>
      </c>
      <c r="R110" s="3" t="s">
        <v>21</v>
      </c>
      <c r="S110" s="12">
        <f>INDEX(PQR_BOM7,2,2)*PQR_Part_D7+INDEX(PQR_BOM8,2,2)*PQR_Part_D8+INDEX(PQR_BOM9,2,2)*PQR_Part_D9</f>
        <v>774.1666666666666</v>
      </c>
    </row>
    <row r="111" spans="1:19" ht="12.75">
      <c r="A111" s="3" t="s">
        <v>22</v>
      </c>
      <c r="B111" s="8"/>
      <c r="C111" s="8"/>
      <c r="D111" s="6" t="s">
        <v>24</v>
      </c>
      <c r="E111" s="13"/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3" t="s">
        <v>25</v>
      </c>
      <c r="S111" s="3">
        <v>500</v>
      </c>
    </row>
    <row r="112" spans="1:19" ht="12.75">
      <c r="A112" s="3"/>
      <c r="B112" s="8"/>
      <c r="C112" s="8"/>
      <c r="D112" s="6" t="s">
        <v>26</v>
      </c>
      <c r="E112" s="17">
        <v>200</v>
      </c>
      <c r="F112" s="10">
        <f aca="true" t="shared" si="65" ref="F112:Q112">IF(E112+F111-F110&gt;0,E112+F111-F110,0)</f>
        <v>70</v>
      </c>
      <c r="G112" s="10">
        <f t="shared" si="65"/>
        <v>0</v>
      </c>
      <c r="H112" s="10">
        <f t="shared" si="65"/>
        <v>0</v>
      </c>
      <c r="I112" s="10">
        <f t="shared" si="65"/>
        <v>0</v>
      </c>
      <c r="J112" s="10">
        <f t="shared" si="65"/>
        <v>0</v>
      </c>
      <c r="K112" s="10">
        <f t="shared" si="65"/>
        <v>0</v>
      </c>
      <c r="L112" s="10">
        <f t="shared" si="65"/>
        <v>0</v>
      </c>
      <c r="M112" s="10">
        <f t="shared" si="65"/>
        <v>0</v>
      </c>
      <c r="N112" s="10">
        <f t="shared" si="65"/>
        <v>0</v>
      </c>
      <c r="O112" s="10">
        <f t="shared" si="65"/>
        <v>0</v>
      </c>
      <c r="P112" s="10">
        <f t="shared" si="65"/>
        <v>0</v>
      </c>
      <c r="Q112" s="10">
        <f t="shared" si="65"/>
        <v>0</v>
      </c>
      <c r="R112" s="3" t="s">
        <v>27</v>
      </c>
      <c r="S112" s="12">
        <f>PQR_Interest*PQR_Cost11</f>
        <v>0.02</v>
      </c>
    </row>
    <row r="113" spans="1:19" ht="12.75">
      <c r="A113" s="3"/>
      <c r="B113" s="8"/>
      <c r="C113" s="8"/>
      <c r="D113" s="6" t="s">
        <v>28</v>
      </c>
      <c r="E113" s="13"/>
      <c r="F113" s="10">
        <f aca="true" t="shared" si="66" ref="F113:Q113">IF(F112&gt;0,0,F110-F111-E112)</f>
        <v>0</v>
      </c>
      <c r="G113" s="10">
        <f t="shared" si="66"/>
        <v>570</v>
      </c>
      <c r="H113" s="10">
        <f t="shared" si="66"/>
        <v>0</v>
      </c>
      <c r="I113" s="10">
        <f t="shared" si="66"/>
        <v>1470</v>
      </c>
      <c r="J113" s="10">
        <f t="shared" si="66"/>
        <v>440</v>
      </c>
      <c r="K113" s="10">
        <f t="shared" si="66"/>
        <v>0</v>
      </c>
      <c r="L113" s="10">
        <f t="shared" si="66"/>
        <v>1650</v>
      </c>
      <c r="M113" s="10">
        <f t="shared" si="66"/>
        <v>460</v>
      </c>
      <c r="N113" s="10">
        <f t="shared" si="66"/>
        <v>0</v>
      </c>
      <c r="O113" s="10">
        <f t="shared" si="66"/>
        <v>330</v>
      </c>
      <c r="P113" s="10">
        <f t="shared" si="66"/>
        <v>0</v>
      </c>
      <c r="Q113" s="10">
        <f t="shared" si="66"/>
        <v>0</v>
      </c>
      <c r="R113" s="3" t="s">
        <v>29</v>
      </c>
      <c r="S113" s="12">
        <f>(SUM(PQR_Part11_WIP)+SUM(PQR_Part11_OH))/PQR_Horizon</f>
        <v>990.8333333333334</v>
      </c>
    </row>
    <row r="114" spans="1:19" ht="12.75">
      <c r="A114" s="3" t="s">
        <v>30</v>
      </c>
      <c r="B114" s="4"/>
      <c r="C114" s="8">
        <v>1</v>
      </c>
      <c r="D114" s="6" t="s">
        <v>31</v>
      </c>
      <c r="E114" s="13"/>
      <c r="F114" s="10">
        <f ca="1">IF(E116-F110+F111&lt;0,SUM(F113:OFFSET(F113,0,MIN(PQR_Lot11-1,PQR_Horizon-F109))),0)</f>
        <v>0</v>
      </c>
      <c r="G114" s="10">
        <f ca="1">IF(F116-G110+G111&lt;0,SUM(G113:OFFSET(G113,0,MIN(PQR_Lot11-1,PQR_Horizon-G109))),0)</f>
        <v>2040</v>
      </c>
      <c r="H114" s="10">
        <f ca="1">IF(G116-H110+H111&lt;0,SUM(H113:OFFSET(H113,0,MIN(PQR_Lot11-1,PQR_Horizon-H109))),0)</f>
        <v>0</v>
      </c>
      <c r="I114" s="10">
        <f ca="1">IF(H116-I110+I111&lt;0,SUM(I113:OFFSET(I113,0,MIN(PQR_Lot11-1,PQR_Horizon-I109))),0)</f>
        <v>0</v>
      </c>
      <c r="J114" s="10">
        <f ca="1">IF(I116-J110+J111&lt;0,SUM(J113:OFFSET(J113,0,MIN(PQR_Lot11-1,PQR_Horizon-J109))),0)</f>
        <v>2090</v>
      </c>
      <c r="K114" s="10">
        <f ca="1">IF(J116-K110+K111&lt;0,SUM(K113:OFFSET(K113,0,MIN(PQR_Lot11-1,PQR_Horizon-K109))),0)</f>
        <v>0</v>
      </c>
      <c r="L114" s="10">
        <f ca="1">IF(K116-L110+L111&lt;0,SUM(L113:OFFSET(L113,0,MIN(PQR_Lot11-1,PQR_Horizon-L109))),0)</f>
        <v>0</v>
      </c>
      <c r="M114" s="10">
        <f ca="1">IF(L116-M110+M111&lt;0,SUM(M113:OFFSET(M113,0,MIN(PQR_Lot11-1,PQR_Horizon-M109))),0)</f>
        <v>790</v>
      </c>
      <c r="N114" s="10">
        <f ca="1">IF(M116-N110+N111&lt;0,SUM(N113:OFFSET(N113,0,MIN(PQR_Lot11-1,PQR_Horizon-N109))),0)</f>
        <v>0</v>
      </c>
      <c r="O114" s="10">
        <f ca="1">IF(N116-O110+O111&lt;0,SUM(O113:OFFSET(O113,0,MIN(PQR_Lot11-1,PQR_Horizon-O109))),0)</f>
        <v>0</v>
      </c>
      <c r="P114" s="10">
        <f ca="1">IF(O116-P110+P111&lt;0,SUM(P113:OFFSET(P113,0,MIN(PQR_Lot11-1,PQR_Horizon-P109))),0)</f>
        <v>0</v>
      </c>
      <c r="Q114" s="10">
        <f ca="1">IF(P116-Q110+Q111&lt;0,SUM(Q113:OFFSET(Q113,0,MIN(PQR_Lot11-1,PQR_Horizon-Q109))),0)</f>
        <v>0</v>
      </c>
      <c r="R114" s="3" t="s">
        <v>32</v>
      </c>
      <c r="S114" s="12">
        <f>(COUNTIF(PQR_Part11_Rel,"&gt;0"))/PQR_Horizon</f>
        <v>0.25</v>
      </c>
    </row>
    <row r="115" spans="1:19" ht="12.75">
      <c r="A115" s="3" t="s">
        <v>33</v>
      </c>
      <c r="B115" s="4" t="s">
        <v>34</v>
      </c>
      <c r="C115" s="8">
        <v>3</v>
      </c>
      <c r="D115" s="6" t="s">
        <v>35</v>
      </c>
      <c r="E115" s="15">
        <f>SUM(PQR_Part11_Rec)-SUM(PQR_Part11_Rel)</f>
        <v>0</v>
      </c>
      <c r="F115" s="10">
        <f>IF(F109+PQR_Lead11&lt;=PQR_Horizon,INDEX(PQR_Part11_Rec,1,F109+PQR_Lead11),0)</f>
        <v>2040</v>
      </c>
      <c r="G115" s="10">
        <f aca="true" t="shared" si="67" ref="G115:Q115">IF(G109+PQR_Lead11&lt;=PQR_Horizon,INDEX(PQR_Part11_Rec,1,G109+PQR_Lead11),0)</f>
        <v>0</v>
      </c>
      <c r="H115" s="10">
        <f t="shared" si="67"/>
        <v>0</v>
      </c>
      <c r="I115" s="10">
        <f t="shared" si="67"/>
        <v>2090</v>
      </c>
      <c r="J115" s="10">
        <f t="shared" si="67"/>
        <v>0</v>
      </c>
      <c r="K115" s="10">
        <f t="shared" si="67"/>
        <v>0</v>
      </c>
      <c r="L115" s="10">
        <f t="shared" si="67"/>
        <v>790</v>
      </c>
      <c r="M115" s="10">
        <f t="shared" si="67"/>
        <v>0</v>
      </c>
      <c r="N115" s="10">
        <f t="shared" si="67"/>
        <v>0</v>
      </c>
      <c r="O115" s="10">
        <f t="shared" si="67"/>
        <v>0</v>
      </c>
      <c r="P115" s="10">
        <f t="shared" si="67"/>
        <v>0</v>
      </c>
      <c r="Q115" s="10">
        <f t="shared" si="67"/>
        <v>0</v>
      </c>
      <c r="R115" s="3" t="s">
        <v>36</v>
      </c>
      <c r="S115" s="12">
        <f>S113*PQR_h11+S114*PQR_A11</f>
        <v>144.81666666666666</v>
      </c>
    </row>
    <row r="116" spans="1:19" ht="12.75">
      <c r="A116" s="3" t="s">
        <v>37</v>
      </c>
      <c r="B116" s="4"/>
      <c r="C116" s="8">
        <v>20</v>
      </c>
      <c r="D116" s="6" t="s">
        <v>38</v>
      </c>
      <c r="E116" s="16">
        <f>E112</f>
        <v>200</v>
      </c>
      <c r="F116" s="10">
        <f aca="true" t="shared" si="68" ref="F116:Q116">E116-F110+F114+F111</f>
        <v>70</v>
      </c>
      <c r="G116" s="10">
        <f t="shared" si="68"/>
        <v>1470</v>
      </c>
      <c r="H116" s="10">
        <f t="shared" si="68"/>
        <v>1470</v>
      </c>
      <c r="I116" s="10">
        <f t="shared" si="68"/>
        <v>0</v>
      </c>
      <c r="J116" s="10">
        <f t="shared" si="68"/>
        <v>1650</v>
      </c>
      <c r="K116" s="10">
        <f t="shared" si="68"/>
        <v>1650</v>
      </c>
      <c r="L116" s="10">
        <f t="shared" si="68"/>
        <v>0</v>
      </c>
      <c r="M116" s="10">
        <f t="shared" si="68"/>
        <v>330</v>
      </c>
      <c r="N116" s="10">
        <f t="shared" si="68"/>
        <v>330</v>
      </c>
      <c r="O116" s="10">
        <f t="shared" si="68"/>
        <v>0</v>
      </c>
      <c r="P116" s="10">
        <f t="shared" si="68"/>
        <v>0</v>
      </c>
      <c r="Q116" s="10">
        <f t="shared" si="68"/>
        <v>0</v>
      </c>
      <c r="R116" s="3" t="s">
        <v>39</v>
      </c>
      <c r="S116" s="12">
        <f>ROUND(SQRT(2*PQR_Part_D11*PQR_A11/PQR_h11),0)</f>
        <v>6222</v>
      </c>
    </row>
    <row r="117" spans="1:19" ht="12.75">
      <c r="A117" s="3" t="s">
        <v>40</v>
      </c>
      <c r="C117" s="10">
        <f>C116</f>
        <v>20</v>
      </c>
      <c r="D117" s="6" t="s">
        <v>41</v>
      </c>
      <c r="E117" s="15">
        <f>E115</f>
        <v>0</v>
      </c>
      <c r="F117" s="10">
        <f aca="true" t="shared" si="69" ref="F117:Q117">E117+F115-F114</f>
        <v>2040</v>
      </c>
      <c r="G117" s="10">
        <f t="shared" si="69"/>
        <v>0</v>
      </c>
      <c r="H117" s="10">
        <f t="shared" si="69"/>
        <v>0</v>
      </c>
      <c r="I117" s="10">
        <f t="shared" si="69"/>
        <v>2090</v>
      </c>
      <c r="J117" s="10">
        <f t="shared" si="69"/>
        <v>0</v>
      </c>
      <c r="K117" s="10">
        <f t="shared" si="69"/>
        <v>0</v>
      </c>
      <c r="L117" s="10">
        <f t="shared" si="69"/>
        <v>790</v>
      </c>
      <c r="M117" s="10">
        <f t="shared" si="69"/>
        <v>0</v>
      </c>
      <c r="N117" s="10">
        <f t="shared" si="69"/>
        <v>0</v>
      </c>
      <c r="O117" s="10">
        <f t="shared" si="69"/>
        <v>0</v>
      </c>
      <c r="P117" s="10">
        <f t="shared" si="69"/>
        <v>0</v>
      </c>
      <c r="Q117" s="10">
        <f t="shared" si="69"/>
        <v>0</v>
      </c>
      <c r="R117" s="3" t="s">
        <v>42</v>
      </c>
      <c r="S117" s="12">
        <f>MAX(1,ROUND(S116/PQR_Part_D11,0))</f>
        <v>8</v>
      </c>
    </row>
    <row r="119" spans="1:19" ht="12.75">
      <c r="A119" s="3" t="s">
        <v>16</v>
      </c>
      <c r="B119" s="4"/>
      <c r="C119" s="8" t="s">
        <v>48</v>
      </c>
      <c r="D119" s="6" t="s">
        <v>17</v>
      </c>
      <c r="E119" s="13"/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8">
        <v>7</v>
      </c>
      <c r="M119" s="8">
        <v>8</v>
      </c>
      <c r="N119" s="8">
        <v>9</v>
      </c>
      <c r="O119" s="8">
        <v>10</v>
      </c>
      <c r="P119" s="8">
        <v>11</v>
      </c>
      <c r="Q119" s="8">
        <v>12</v>
      </c>
      <c r="R119" s="3" t="s">
        <v>18</v>
      </c>
      <c r="S119" s="12" t="str">
        <f>$C119</f>
        <v>RM3</v>
      </c>
    </row>
    <row r="120" spans="1:19" ht="12.75">
      <c r="A120" s="3" t="s">
        <v>19</v>
      </c>
      <c r="B120" s="4"/>
      <c r="C120" s="8">
        <f>MAX(PQR_Level8,PQR_Level9)+1</f>
        <v>3</v>
      </c>
      <c r="D120" s="6" t="s">
        <v>20</v>
      </c>
      <c r="E120" s="13"/>
      <c r="F120" s="10">
        <f aca="true" t="shared" si="70" ref="F120:Q120">INDEX(PQR_BOM8,3,2)*PQR_Part8_Rel+INDEX(PQR_BOM9,3,2)*PQR_Part9_Rel</f>
        <v>390</v>
      </c>
      <c r="G120" s="10">
        <f t="shared" si="70"/>
        <v>230</v>
      </c>
      <c r="H120" s="10">
        <f t="shared" si="70"/>
        <v>0</v>
      </c>
      <c r="I120" s="10">
        <f t="shared" si="70"/>
        <v>2090</v>
      </c>
      <c r="J120" s="10">
        <f t="shared" si="70"/>
        <v>0</v>
      </c>
      <c r="K120" s="10">
        <f t="shared" si="70"/>
        <v>0</v>
      </c>
      <c r="L120" s="10">
        <f t="shared" si="70"/>
        <v>2350</v>
      </c>
      <c r="M120" s="10">
        <f t="shared" si="70"/>
        <v>0</v>
      </c>
      <c r="N120" s="10">
        <f t="shared" si="70"/>
        <v>0</v>
      </c>
      <c r="O120" s="10">
        <f t="shared" si="70"/>
        <v>550</v>
      </c>
      <c r="P120" s="10">
        <f t="shared" si="70"/>
        <v>0</v>
      </c>
      <c r="Q120" s="10">
        <f t="shared" si="70"/>
        <v>0</v>
      </c>
      <c r="R120" s="3" t="s">
        <v>21</v>
      </c>
      <c r="S120" s="12">
        <f>INDEX(PQR_BOM8,3,2)*PQR_Part_D8+INDEX(PQR_BOM9,3,2)*PQR_Part_D9</f>
        <v>772.5</v>
      </c>
    </row>
    <row r="121" spans="1:19" ht="12.75">
      <c r="A121" s="3" t="s">
        <v>22</v>
      </c>
      <c r="B121" s="8"/>
      <c r="C121" s="8"/>
      <c r="D121" s="6" t="s">
        <v>24</v>
      </c>
      <c r="E121" s="13"/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3" t="s">
        <v>25</v>
      </c>
      <c r="S121" s="3">
        <v>500</v>
      </c>
    </row>
    <row r="122" spans="1:19" ht="12.75">
      <c r="A122" s="3"/>
      <c r="B122" s="8"/>
      <c r="C122" s="8"/>
      <c r="D122" s="6" t="s">
        <v>26</v>
      </c>
      <c r="E122" s="17">
        <v>400</v>
      </c>
      <c r="F122" s="10">
        <f aca="true" t="shared" si="71" ref="F122:Q122">IF(E122+F121-F120&gt;0,E122+F121-F120,0)</f>
        <v>10</v>
      </c>
      <c r="G122" s="10">
        <f t="shared" si="71"/>
        <v>0</v>
      </c>
      <c r="H122" s="10">
        <f t="shared" si="71"/>
        <v>0</v>
      </c>
      <c r="I122" s="10">
        <f t="shared" si="71"/>
        <v>0</v>
      </c>
      <c r="J122" s="10">
        <f t="shared" si="71"/>
        <v>0</v>
      </c>
      <c r="K122" s="10">
        <f t="shared" si="71"/>
        <v>0</v>
      </c>
      <c r="L122" s="10">
        <f t="shared" si="71"/>
        <v>0</v>
      </c>
      <c r="M122" s="10">
        <f t="shared" si="71"/>
        <v>0</v>
      </c>
      <c r="N122" s="10">
        <f t="shared" si="71"/>
        <v>0</v>
      </c>
      <c r="O122" s="10">
        <f t="shared" si="71"/>
        <v>0</v>
      </c>
      <c r="P122" s="10">
        <f t="shared" si="71"/>
        <v>0</v>
      </c>
      <c r="Q122" s="10">
        <f t="shared" si="71"/>
        <v>0</v>
      </c>
      <c r="R122" s="3" t="s">
        <v>27</v>
      </c>
      <c r="S122" s="12">
        <f>PQR_Interest*PQR_Cost12</f>
        <v>0.02</v>
      </c>
    </row>
    <row r="123" spans="1:19" ht="12.75">
      <c r="A123" s="3"/>
      <c r="B123" s="8"/>
      <c r="C123" s="8"/>
      <c r="D123" s="6" t="s">
        <v>28</v>
      </c>
      <c r="E123" s="13"/>
      <c r="F123" s="10">
        <f aca="true" t="shared" si="72" ref="F123:Q123">IF(F122&gt;0,0,F120-F121-E122)</f>
        <v>0</v>
      </c>
      <c r="G123" s="10">
        <f t="shared" si="72"/>
        <v>220</v>
      </c>
      <c r="H123" s="10">
        <f t="shared" si="72"/>
        <v>0</v>
      </c>
      <c r="I123" s="10">
        <f t="shared" si="72"/>
        <v>2090</v>
      </c>
      <c r="J123" s="10">
        <f t="shared" si="72"/>
        <v>0</v>
      </c>
      <c r="K123" s="10">
        <f t="shared" si="72"/>
        <v>0</v>
      </c>
      <c r="L123" s="10">
        <f t="shared" si="72"/>
        <v>2350</v>
      </c>
      <c r="M123" s="10">
        <f t="shared" si="72"/>
        <v>0</v>
      </c>
      <c r="N123" s="10">
        <f t="shared" si="72"/>
        <v>0</v>
      </c>
      <c r="O123" s="10">
        <f t="shared" si="72"/>
        <v>550</v>
      </c>
      <c r="P123" s="10">
        <f t="shared" si="72"/>
        <v>0</v>
      </c>
      <c r="Q123" s="10">
        <f t="shared" si="72"/>
        <v>0</v>
      </c>
      <c r="R123" s="3" t="s">
        <v>29</v>
      </c>
      <c r="S123" s="12">
        <f>(SUM(PQR_Part12_WIP)+SUM(PQR_Part12_OH))/PQR_Horizon</f>
        <v>783.3333333333334</v>
      </c>
    </row>
    <row r="124" spans="1:19" ht="12.75">
      <c r="A124" s="3" t="s">
        <v>30</v>
      </c>
      <c r="B124" s="4"/>
      <c r="C124" s="8">
        <v>1</v>
      </c>
      <c r="D124" s="6" t="s">
        <v>31</v>
      </c>
      <c r="E124" s="13"/>
      <c r="F124" s="10">
        <f ca="1">IF(E126-F120+F121&lt;0,SUM(F123:OFFSET(F123,0,MIN(PQR_Lot12-1,PQR_Horizon-F119))),0)</f>
        <v>0</v>
      </c>
      <c r="G124" s="10">
        <f ca="1">IF(F126-G120+G121&lt;0,SUM(G123:OFFSET(G123,0,MIN(PQR_Lot12-1,PQR_Horizon-G119))),0)</f>
        <v>2310</v>
      </c>
      <c r="H124" s="10">
        <f ca="1">IF(G126-H120+H121&lt;0,SUM(H123:OFFSET(H123,0,MIN(PQR_Lot12-1,PQR_Horizon-H119))),0)</f>
        <v>0</v>
      </c>
      <c r="I124" s="10">
        <f ca="1">IF(H126-I120+I121&lt;0,SUM(I123:OFFSET(I123,0,MIN(PQR_Lot12-1,PQR_Horizon-I119))),0)</f>
        <v>0</v>
      </c>
      <c r="J124" s="10">
        <f ca="1">IF(I126-J120+J121&lt;0,SUM(J123:OFFSET(J123,0,MIN(PQR_Lot12-1,PQR_Horizon-J119))),0)</f>
        <v>0</v>
      </c>
      <c r="K124" s="10">
        <f ca="1">IF(J126-K120+K121&lt;0,SUM(K123:OFFSET(K123,0,MIN(PQR_Lot12-1,PQR_Horizon-K119))),0)</f>
        <v>0</v>
      </c>
      <c r="L124" s="10">
        <f ca="1">IF(K126-L120+L121&lt;0,SUM(L123:OFFSET(L123,0,MIN(PQR_Lot12-1,PQR_Horizon-L119))),0)</f>
        <v>2350</v>
      </c>
      <c r="M124" s="10">
        <f ca="1">IF(L126-M120+M121&lt;0,SUM(M123:OFFSET(M123,0,MIN(PQR_Lot12-1,PQR_Horizon-M119))),0)</f>
        <v>0</v>
      </c>
      <c r="N124" s="10">
        <f ca="1">IF(M126-N120+N121&lt;0,SUM(N123:OFFSET(N123,0,MIN(PQR_Lot12-1,PQR_Horizon-N119))),0)</f>
        <v>0</v>
      </c>
      <c r="O124" s="10">
        <f ca="1">IF(N126-O120+O121&lt;0,SUM(O123:OFFSET(O123,0,MIN(PQR_Lot12-1,PQR_Horizon-O119))),0)</f>
        <v>550</v>
      </c>
      <c r="P124" s="10">
        <f ca="1">IF(O126-P120+P121&lt;0,SUM(P123:OFFSET(P123,0,MIN(PQR_Lot12-1,PQR_Horizon-P119))),0)</f>
        <v>0</v>
      </c>
      <c r="Q124" s="10">
        <f ca="1">IF(P126-Q120+Q121&lt;0,SUM(Q123:OFFSET(Q123,0,MIN(PQR_Lot12-1,PQR_Horizon-Q119))),0)</f>
        <v>0</v>
      </c>
      <c r="R124" s="3" t="s">
        <v>32</v>
      </c>
      <c r="S124" s="12">
        <f>(COUNTIF(PQR_Part12_Rel,"&gt;0"))/PQR_Horizon</f>
        <v>0.25</v>
      </c>
    </row>
    <row r="125" spans="1:19" ht="12.75">
      <c r="A125" s="3" t="s">
        <v>33</v>
      </c>
      <c r="B125" s="4" t="s">
        <v>34</v>
      </c>
      <c r="C125" s="8">
        <v>3</v>
      </c>
      <c r="D125" s="6" t="s">
        <v>35</v>
      </c>
      <c r="E125" s="15">
        <f>SUM(PQR_Part12_Rec)-SUM(PQR_Part12_Rel)</f>
        <v>0</v>
      </c>
      <c r="F125" s="10">
        <f>IF(F119+PQR_Lead12&lt;=PQR_Horizon,INDEX(PQR_Part12_Rec,1,F119+PQR_Lead12),0)</f>
        <v>2310</v>
      </c>
      <c r="G125" s="10">
        <f aca="true" t="shared" si="73" ref="G125:Q125">IF(G119+PQR_Lead12&lt;=PQR_Horizon,INDEX(PQR_Part12_Rec,1,G119+PQR_Lead12),0)</f>
        <v>0</v>
      </c>
      <c r="H125" s="10">
        <f t="shared" si="73"/>
        <v>0</v>
      </c>
      <c r="I125" s="10">
        <f t="shared" si="73"/>
        <v>0</v>
      </c>
      <c r="J125" s="10">
        <f t="shared" si="73"/>
        <v>0</v>
      </c>
      <c r="K125" s="10">
        <f t="shared" si="73"/>
        <v>2350</v>
      </c>
      <c r="L125" s="10">
        <f t="shared" si="73"/>
        <v>0</v>
      </c>
      <c r="M125" s="10">
        <f t="shared" si="73"/>
        <v>0</v>
      </c>
      <c r="N125" s="10">
        <f t="shared" si="73"/>
        <v>550</v>
      </c>
      <c r="O125" s="10">
        <f t="shared" si="73"/>
        <v>0</v>
      </c>
      <c r="P125" s="10">
        <f t="shared" si="73"/>
        <v>0</v>
      </c>
      <c r="Q125" s="10">
        <f t="shared" si="73"/>
        <v>0</v>
      </c>
      <c r="R125" s="3" t="s">
        <v>36</v>
      </c>
      <c r="S125" s="12">
        <f>S123*PQR_h12+S124*PQR_A12</f>
        <v>140.66666666666666</v>
      </c>
    </row>
    <row r="126" spans="1:19" ht="12.75">
      <c r="A126" s="3" t="s">
        <v>37</v>
      </c>
      <c r="B126" s="4"/>
      <c r="C126" s="8">
        <v>20</v>
      </c>
      <c r="D126" s="6" t="s">
        <v>38</v>
      </c>
      <c r="E126" s="16">
        <f>E122</f>
        <v>400</v>
      </c>
      <c r="F126" s="10">
        <f aca="true" t="shared" si="74" ref="F126:Q126">E126-F120+F124+F121</f>
        <v>10</v>
      </c>
      <c r="G126" s="10">
        <f t="shared" si="74"/>
        <v>2090</v>
      </c>
      <c r="H126" s="10">
        <f t="shared" si="74"/>
        <v>2090</v>
      </c>
      <c r="I126" s="10">
        <f t="shared" si="74"/>
        <v>0</v>
      </c>
      <c r="J126" s="10">
        <f t="shared" si="74"/>
        <v>0</v>
      </c>
      <c r="K126" s="10">
        <f t="shared" si="74"/>
        <v>0</v>
      </c>
      <c r="L126" s="10">
        <f t="shared" si="74"/>
        <v>0</v>
      </c>
      <c r="M126" s="10">
        <f t="shared" si="74"/>
        <v>0</v>
      </c>
      <c r="N126" s="10">
        <f t="shared" si="74"/>
        <v>0</v>
      </c>
      <c r="O126" s="10">
        <f t="shared" si="74"/>
        <v>0</v>
      </c>
      <c r="P126" s="10">
        <f t="shared" si="74"/>
        <v>0</v>
      </c>
      <c r="Q126" s="10">
        <f t="shared" si="74"/>
        <v>0</v>
      </c>
      <c r="R126" s="3" t="s">
        <v>39</v>
      </c>
      <c r="S126" s="12">
        <f>ROUND(SQRT(2*PQR_Part_D12*PQR_A12/PQR_h12),0)</f>
        <v>6215</v>
      </c>
    </row>
    <row r="127" spans="1:19" ht="12.75">
      <c r="A127" s="3" t="s">
        <v>40</v>
      </c>
      <c r="C127" s="10">
        <f>C126</f>
        <v>20</v>
      </c>
      <c r="D127" s="6" t="s">
        <v>41</v>
      </c>
      <c r="E127" s="15">
        <f>E125</f>
        <v>0</v>
      </c>
      <c r="F127" s="10">
        <f aca="true" t="shared" si="75" ref="F127:Q127">E127+F125-F124</f>
        <v>2310</v>
      </c>
      <c r="G127" s="10">
        <f t="shared" si="75"/>
        <v>0</v>
      </c>
      <c r="H127" s="10">
        <f t="shared" si="75"/>
        <v>0</v>
      </c>
      <c r="I127" s="10">
        <f t="shared" si="75"/>
        <v>0</v>
      </c>
      <c r="J127" s="10">
        <f t="shared" si="75"/>
        <v>0</v>
      </c>
      <c r="K127" s="10">
        <f t="shared" si="75"/>
        <v>2350</v>
      </c>
      <c r="L127" s="10">
        <f t="shared" si="75"/>
        <v>0</v>
      </c>
      <c r="M127" s="10">
        <f t="shared" si="75"/>
        <v>0</v>
      </c>
      <c r="N127" s="10">
        <f t="shared" si="75"/>
        <v>550</v>
      </c>
      <c r="O127" s="10">
        <f t="shared" si="75"/>
        <v>0</v>
      </c>
      <c r="P127" s="10">
        <f t="shared" si="75"/>
        <v>0</v>
      </c>
      <c r="Q127" s="10">
        <f t="shared" si="75"/>
        <v>0</v>
      </c>
      <c r="R127" s="3" t="s">
        <v>42</v>
      </c>
      <c r="S127" s="12">
        <f>MAX(1,ROUND(S126/PQR_Part_D12,0))</f>
        <v>8</v>
      </c>
    </row>
  </sheetData>
  <printOptions heading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Texas</dc:creator>
  <cp:keywords/>
  <dc:description/>
  <cp:lastModifiedBy>Paul Jensen</cp:lastModifiedBy>
  <cp:category/>
  <cp:version/>
  <cp:contentType/>
  <cp:contentStatus/>
</cp:coreProperties>
</file>