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16" yWindow="65516" windowWidth="18720" windowHeight="11600" tabRatio="734" activeTab="0"/>
  </bookViews>
  <sheets>
    <sheet name="Instructions" sheetId="1" r:id="rId1"/>
    <sheet name="Repair" sheetId="2" r:id="rId2"/>
    <sheet name="Repair_Graphics" sheetId="3" r:id="rId3"/>
    <sheet name="Econ1" sheetId="4" r:id="rId4"/>
    <sheet name="Econ1_U" sheetId="5" r:id="rId5"/>
    <sheet name="Econ1_U_Graphics" sheetId="6" r:id="rId6"/>
    <sheet name="Econ2" sheetId="7" r:id="rId7"/>
    <sheet name="Econ2_Graphics" sheetId="8" r:id="rId8"/>
    <sheet name="Cola" sheetId="9" r:id="rId9"/>
    <sheet name="Cola_Graphics" sheetId="10" r:id="rId10"/>
    <sheet name="Dec1" sheetId="11" r:id="rId11"/>
    <sheet name="Dec2" sheetId="12" r:id="rId12"/>
  </sheets>
  <externalReferences>
    <externalReference r:id="rId15"/>
    <externalReference r:id="rId16"/>
    <externalReference r:id="rId17"/>
  </externalReferences>
  <definedNames>
    <definedName name="Area2">'[2]Box'!$D$12</definedName>
    <definedName name="Area2_R">'[2]Box'!$D$11:$E$12</definedName>
    <definedName name="Box">'[2]Box'!$B$3:$B$5</definedName>
    <definedName name="Box_R">'[2]Box'!$A$2:$B$5</definedName>
    <definedName name="Box2">'[2]Box'!$B$10:$B$11</definedName>
    <definedName name="Box2_R">'[2]Box'!$A$9:$B$11</definedName>
    <definedName name="Cola_Arc_Name">'Cola'!$J$9:$J$24</definedName>
    <definedName name="Cola_ArcData">'Cola'!$D$8:$K$24</definedName>
    <definedName name="Cola_Arcs">'Cola'!$D$9:$D$24</definedName>
    <definedName name="Cola_DisplayParam">'Cola'!$L$1:$L$5</definedName>
    <definedName name="Cola_DisplayParam2">'Cola'!$O$1:$O$2</definedName>
    <definedName name="Cola_From">'Cola'!$E$9:$E$24</definedName>
    <definedName name="Cola_From_Name">'Cola'!$H$9:$H$24</definedName>
    <definedName name="Cola_GraphicsParam">'Cola'!$I$1:$I$3</definedName>
    <definedName name="Cola_Inv_Util">'Cola'!$S$4</definedName>
    <definedName name="Cola_Node_Added">'Cola'!$P$9:$P$25</definedName>
    <definedName name="Cola_Node_Cert">'Cola'!$S$9:$S$25</definedName>
    <definedName name="Cola_Node_Dec">'Cola'!$U$9:$U$25</definedName>
    <definedName name="Cola_Node_Depth">'Cola'!$W$9:$W$25</definedName>
    <definedName name="Cola_Node_Level">'Cola'!$V$9:$V$25</definedName>
    <definedName name="Cola_Node_Name">'Cola'!$N$9:$N$25</definedName>
    <definedName name="Cola_Node_Opt">'Cola'!$T$9:$T$25</definedName>
    <definedName name="Cola_Node_Type">'Cola'!$O$9:$O$25</definedName>
    <definedName name="Cola_Node_Utility">'Cola'!$Q$9:$Q$25</definedName>
    <definedName name="Cola_Node_Value">'Cola'!$R$9:$R$25</definedName>
    <definedName name="Cola_NodeData">'Cola'!$M$8:$W$25</definedName>
    <definedName name="Cola_Nodes">'Cola'!$M$9:$M$25</definedName>
    <definedName name="Cola_Param">'Cola'!$F$1:$F$4</definedName>
    <definedName name="Cola_Prob">'Cola'!$G$9:$G$24</definedName>
    <definedName name="Cola_To">'Cola'!$F$9:$F$24</definedName>
    <definedName name="Cola_To_Name">'Cola'!$I$9:$I$24</definedName>
    <definedName name="Cola_Total">'Cola'!$K$9:$K$24</definedName>
    <definedName name="Cola_Util_Max">'Cola'!$S$2</definedName>
    <definedName name="Cola_Util_Min">'Cola'!$R$2</definedName>
    <definedName name="Cola_Util_Norm">'Cola'!$T$2</definedName>
    <definedName name="Cola_Util_Param">'Cola'!$Q$2</definedName>
    <definedName name="Cola_Utility">'Cola'!$R$4</definedName>
    <definedName name="Dec1_Arc_Name">'Dec1'!$J$9:$J$27</definedName>
    <definedName name="Dec1_ArcData">'Dec1'!$D$8:$K$27</definedName>
    <definedName name="Dec1_Arcs">'Dec1'!$D$9:$D$27</definedName>
    <definedName name="Dec1_DisplayParam">'Dec1'!$L$1:$L$5</definedName>
    <definedName name="Dec1_DisplayParam2">'Dec1'!$O$1:$O$2</definedName>
    <definedName name="Dec1_From">'Dec1'!$E$9:$E$27</definedName>
    <definedName name="Dec1_From_Name">'Dec1'!$H$9:$H$27</definedName>
    <definedName name="Dec1_GraphicsParam">'Dec1'!$I$1:$I$3</definedName>
    <definedName name="Dec1_Inv_Util">'Dec1'!$S$4</definedName>
    <definedName name="Dec1_Node_Added">'Dec1'!$P$9:$P$28</definedName>
    <definedName name="Dec1_Node_Cert">'Dec1'!$S$9:$S$28</definedName>
    <definedName name="Dec1_Node_Dec">'Dec1'!$U$9:$U$28</definedName>
    <definedName name="Dec1_Node_Depth">'Dec1'!$W$9:$W$28</definedName>
    <definedName name="Dec1_Node_Level">'Dec1'!$V$9:$V$28</definedName>
    <definedName name="Dec1_Node_Name">'Dec1'!$N$9:$N$28</definedName>
    <definedName name="Dec1_Node_Opt">'Dec1'!$T$9:$T$28</definedName>
    <definedName name="Dec1_Node_Type">'Dec1'!$O$9:$O$28</definedName>
    <definedName name="Dec1_Node_Utility">'Dec1'!$Q$9:$Q$28</definedName>
    <definedName name="Dec1_Node_Value">'Dec1'!$R$9:$R$28</definedName>
    <definedName name="Dec1_NodeData">'Dec1'!$M$8:$W$28</definedName>
    <definedName name="Dec1_Nodes">'Dec1'!$M$9:$M$28</definedName>
    <definedName name="Dec1_Param">'Dec1'!$F$1:$F$4</definedName>
    <definedName name="Dec1_Prob">'Dec1'!$G$9:$G$27</definedName>
    <definedName name="Dec1_To">'Dec1'!$F$9:$F$27</definedName>
    <definedName name="Dec1_To_Name">'Dec1'!$I$9:$I$27</definedName>
    <definedName name="Dec1_Total">'Dec1'!$K$9:$K$27</definedName>
    <definedName name="Dec1_Util_Max">'Dec1'!$S$2</definedName>
    <definedName name="Dec1_Util_Min">'Dec1'!$R$2</definedName>
    <definedName name="Dec1_Util_Norm">'Dec1'!$T$2</definedName>
    <definedName name="Dec1_Util_Param">'Dec1'!$Q$2</definedName>
    <definedName name="Dec1_Utility">'Dec1'!$R$4</definedName>
    <definedName name="Dec2_Arc_Name">'Dec2'!$J$9:$J$12</definedName>
    <definedName name="Dec2_ArcData">'Dec2'!$D$8:$K$12</definedName>
    <definedName name="Dec2_Arcs">'Dec2'!$D$9:$D$12</definedName>
    <definedName name="Dec2_DisplayParam">'Dec2'!$L$1:$L$5</definedName>
    <definedName name="Dec2_DisplayParam2">'Dec2'!$O$1:$O$2</definedName>
    <definedName name="Dec2_From">'Dec2'!$E$9:$E$12</definedName>
    <definedName name="Dec2_From_Name">'Dec2'!$H$9:$H$12</definedName>
    <definedName name="Dec2_GraphicsParam">'Dec2'!$I$1:$I$3</definedName>
    <definedName name="Dec2_Inv_Util">'Dec2'!$S$4</definedName>
    <definedName name="Dec2_Node_Added">'Dec2'!$P$9:$P$13</definedName>
    <definedName name="Dec2_Node_Cert">'Dec2'!$S$9:$S$13</definedName>
    <definedName name="Dec2_Node_Dec">'Dec2'!$U$9:$U$13</definedName>
    <definedName name="Dec2_Node_Depth">'Dec2'!$W$9:$W$13</definedName>
    <definedName name="Dec2_Node_Level">'Dec2'!$V$9:$V$13</definedName>
    <definedName name="Dec2_Node_Name">'Dec2'!$N$9:$N$13</definedName>
    <definedName name="Dec2_Node_Opt">'Dec2'!$T$9:$T$13</definedName>
    <definedName name="Dec2_Node_Type">'Dec2'!$O$9:$O$13</definedName>
    <definedName name="Dec2_Node_Utility">'Dec2'!$Q$9:$Q$13</definedName>
    <definedName name="Dec2_Node_Value">'Dec2'!$R$9:$R$13</definedName>
    <definedName name="Dec2_NodeData">'Dec2'!$M$8:$W$13</definedName>
    <definedName name="Dec2_Nodes">'Dec2'!$M$9:$M$13</definedName>
    <definedName name="Dec2_Param">'Dec2'!$F$1:$F$4</definedName>
    <definedName name="Dec2_Prob">'Dec2'!$G$9:$G$12</definedName>
    <definedName name="Dec2_To">'Dec2'!$F$9:$F$12</definedName>
    <definedName name="Dec2_To_Name">'Dec2'!$I$9:$I$12</definedName>
    <definedName name="Dec2_Total">'Dec2'!$K$9:$K$12</definedName>
    <definedName name="Dec2_Util_Max">'Dec2'!$S$2</definedName>
    <definedName name="Dec2_Util_Min">'Dec2'!$R$2</definedName>
    <definedName name="Dec2_Util_Norm">'Dec2'!$T$2</definedName>
    <definedName name="Dec2_Util_Param">'Dec2'!$Q$2</definedName>
    <definedName name="Dec2_Utility">'Dec2'!$R$4</definedName>
    <definedName name="Dist">'[2]Euclidean'!$E$8</definedName>
    <definedName name="Dist_R">'[2]Euclidean'!$E$7:$F$8</definedName>
    <definedName name="Dist2">'[2]Euclidean2'!$E$7</definedName>
    <definedName name="Dist2_R">'[2]Euclidean2'!$E$6:$F$7</definedName>
    <definedName name="Econ1_Arc_Name">'Econ1'!$J$9:$J$14</definedName>
    <definedName name="Econ1_ArcData">'Econ1'!$D$8:$K$14</definedName>
    <definedName name="Econ1_Arcs">'Econ1'!$D$9:$D$14</definedName>
    <definedName name="Econ1_DisplayParam">'Econ1'!$L$1:$L$5</definedName>
    <definedName name="Econ1_DisplayParam2">'Econ1'!$O$1:$O$2</definedName>
    <definedName name="Econ1_From">'Econ1'!$E$9:$E$14</definedName>
    <definedName name="Econ1_From_Name">'Econ1'!$H$9:$H$14</definedName>
    <definedName name="Econ1_GraphicsParam">'Econ1'!$I$1:$I$3</definedName>
    <definedName name="Econ1_Node_Added">'Econ1'!$P$9:$P$15</definedName>
    <definedName name="Econ1_Node_Dec">'Econ1'!$S$9:$S$15</definedName>
    <definedName name="Econ1_Node_Depth">'Econ1'!$U$9:$U$15</definedName>
    <definedName name="Econ1_Node_Level">'Econ1'!$T$9:$T$15</definedName>
    <definedName name="Econ1_Node_Name">'Econ1'!$N$9:$N$15</definedName>
    <definedName name="Econ1_Node_Opt">'Econ1'!$R$9:$R$15</definedName>
    <definedName name="Econ1_Node_Type">'Econ1'!$O$9:$O$15</definedName>
    <definedName name="Econ1_Node_Value">'Econ1'!$Q$9:$Q$15</definedName>
    <definedName name="Econ1_NodeData">'Econ1'!$M$8:$U$15</definedName>
    <definedName name="Econ1_Nodes">'Econ1'!$M$9:$M$15</definedName>
    <definedName name="Econ1_Param">'Econ1'!$F$1:$F$4</definedName>
    <definedName name="Econ1_Prob">'Econ1'!$G$9:$G$14</definedName>
    <definedName name="Econ1_To">'Econ1'!$F$9:$F$14</definedName>
    <definedName name="Econ1_To_Name">'Econ1'!$I$9:$I$14</definedName>
    <definedName name="Econ1_Total">'Econ1'!$K$9:$K$14</definedName>
    <definedName name="Econ1_U_Arc_Name">'Econ1_U'!$J$9:$J$14</definedName>
    <definedName name="Econ1_U_ArcData">'Econ1_U'!$D$8:$K$14</definedName>
    <definedName name="Econ1_U_Arcs">'Econ1_U'!$D$9:$D$14</definedName>
    <definedName name="Econ1_U_DisplayParam">'Econ1_U'!$L$1:$L$5</definedName>
    <definedName name="Econ1_U_DisplayParam2">'Econ1_U'!$O$1:$O$2</definedName>
    <definedName name="Econ1_U_From">'Econ1_U'!$E$9:$E$14</definedName>
    <definedName name="Econ1_U_From_Name">'Econ1_U'!$H$9:$H$14</definedName>
    <definedName name="Econ1_U_GraphicsParam">'Econ1_U'!$I$1:$I$3</definedName>
    <definedName name="Econ1_U_Inv_Util">'Econ1_U'!$S$4</definedName>
    <definedName name="Econ1_U_Node_Added">'Econ1_U'!$P$9:$P$15</definedName>
    <definedName name="Econ1_U_Node_Cert">'Econ1_U'!$S$9:$S$15</definedName>
    <definedName name="Econ1_U_Node_Dec">'Econ1_U'!$U$9:$U$15</definedName>
    <definedName name="Econ1_U_Node_Depth">'Econ1_U'!$W$9:$W$15</definedName>
    <definedName name="Econ1_U_Node_Level">'Econ1_U'!$V$9:$V$15</definedName>
    <definedName name="Econ1_U_Node_Name">'Econ1_U'!$N$9:$N$15</definedName>
    <definedName name="Econ1_U_Node_Opt">'Econ1_U'!$T$9:$T$15</definedName>
    <definedName name="Econ1_U_Node_Type">'Econ1_U'!$O$9:$O$15</definedName>
    <definedName name="Econ1_U_Node_Utility">'Econ1_U'!$Q$9:$Q$15</definedName>
    <definedName name="Econ1_U_Node_Value">'Econ1_U'!$R$9:$R$15</definedName>
    <definedName name="Econ1_U_NodeData">'Econ1_U'!$M$8:$W$15</definedName>
    <definedName name="Econ1_U_Nodes">'Econ1_U'!$M$9:$M$15</definedName>
    <definedName name="Econ1_U_Param">'Econ1_U'!$F$1:$F$4</definedName>
    <definedName name="Econ1_U_Prob">'Econ1_U'!$G$9:$G$14</definedName>
    <definedName name="Econ1_U_To">'Econ1_U'!$F$9:$F$14</definedName>
    <definedName name="Econ1_U_To_Name">'Econ1_U'!$I$9:$I$14</definedName>
    <definedName name="Econ1_U_Total">'Econ1_U'!$K$9:$K$14</definedName>
    <definedName name="Econ1_U_Util_Max">'Econ1_U'!$S$2</definedName>
    <definedName name="Econ1_U_Util_Min">'Econ1_U'!$R$2</definedName>
    <definedName name="Econ1_U_Util_Norm">'Econ1_U'!$T$2</definedName>
    <definedName name="Econ1_U_Util_Param">'Econ1_U'!$Q$2</definedName>
    <definedName name="Econ1_U_Utility">'Econ1_U'!$R$4</definedName>
    <definedName name="Econ2_Arc_Name">'Econ2'!$K$9:$K$30</definedName>
    <definedName name="Econ2_Arc_Param">'Econ2'!$G$9:$G$30</definedName>
    <definedName name="Econ2_ArcData">'Econ2'!$D$8:$L$30</definedName>
    <definedName name="Econ2_Arcs">'Econ2'!$D$9:$D$30</definedName>
    <definedName name="Econ2_B_Marginal">'Econ2'!$AF$9:$AF$10</definedName>
    <definedName name="Econ2_B_Posterior">'Econ2'!$AB$13:$AE$14</definedName>
    <definedName name="Econ2_B_Prior">'Econ2'!$AB$11:$AE$11</definedName>
    <definedName name="Econ2_B2_Marginal">'Econ2'!$AK$14:$AL$14</definedName>
    <definedName name="Econ2_B2_Posterior">'Econ2'!$AO$10:$AP$13</definedName>
    <definedName name="Econ2_B2_Prior">'Econ2'!$AM$10:$AM$13</definedName>
    <definedName name="Econ2_DisplayParam">'Econ2'!$L$1:$L$5</definedName>
    <definedName name="Econ2_DisplayParam2">'Econ2'!$O$1:$O$2</definedName>
    <definedName name="Econ2_From">'Econ2'!$E$9:$E$30</definedName>
    <definedName name="Econ2_From_Name">'Econ2'!$I$9:$I$30</definedName>
    <definedName name="Econ2_GraphicsParam">'Econ2'!$I$1:$I$3</definedName>
    <definedName name="Econ2_Inv_Util">'Econ2'!$T$4</definedName>
    <definedName name="Econ2_Node_Added">'Econ2'!$Q$9:$Q$23</definedName>
    <definedName name="Econ2_Node_Cert">'Econ2'!$T$9:$T$23</definedName>
    <definedName name="Econ2_Node_Dec">'Econ2'!$V$9:$V$23</definedName>
    <definedName name="Econ2_Node_Depth">'Econ2'!$X$9:$X$23</definedName>
    <definedName name="Econ2_Node_Level">'Econ2'!$W$9:$W$23</definedName>
    <definedName name="Econ2_Node_Name">'Econ2'!$O$9:$O$23</definedName>
    <definedName name="Econ2_Node_Opt">'Econ2'!$U$9:$U$23</definedName>
    <definedName name="Econ2_Node_Type">'Econ2'!$P$9:$P$23</definedName>
    <definedName name="Econ2_Node_Utility">'Econ2'!$R$9:$R$23</definedName>
    <definedName name="Econ2_Node_Value">'Econ2'!$S$9:$S$23</definedName>
    <definedName name="Econ2_NodeData">'Econ2'!$N$8:$X$23</definedName>
    <definedName name="Econ2_Nodes">'Econ2'!$N$9:$N$23</definedName>
    <definedName name="Econ2_Param">'Econ2'!$F$1:$F$4</definedName>
    <definedName name="Econ2_Prob">'Econ2'!$H$9:$H$30</definedName>
    <definedName name="Econ2_To">'Econ2'!$F$9:$F$30</definedName>
    <definedName name="Econ2_To_Name">'Econ2'!$J$9:$J$30</definedName>
    <definedName name="Econ2_Total">'Econ2'!$L$9:$L$30</definedName>
    <definedName name="Econ2_Util_Max">'Econ2'!$T$2</definedName>
    <definedName name="Econ2_Util_Min">'Econ2'!$S$2</definedName>
    <definedName name="Econ2_Util_Norm">'Econ2'!$U$2</definedName>
    <definedName name="Econ2_Util_Param">'Econ2'!$R$2</definedName>
    <definedName name="Econ2_Utility">'Econ2'!$S$4</definedName>
    <definedName name="Econ3_Arc_Name">#REF!</definedName>
    <definedName name="Econ3_Arc_Param">#REF!</definedName>
    <definedName name="Econ3_ArcData">#REF!</definedName>
    <definedName name="Econ3_Arcs">#REF!</definedName>
    <definedName name="Econ3_DisplayParam">#REF!</definedName>
    <definedName name="Econ3_DisplayParam2">#REF!</definedName>
    <definedName name="Econ3_From">#REF!</definedName>
    <definedName name="Econ3_From_Name">#REF!</definedName>
    <definedName name="Econ3_GraphicsParam">#REF!</definedName>
    <definedName name="Econ3_Inv_Util">#REF!</definedName>
    <definedName name="Econ3_Node_Added">#REF!</definedName>
    <definedName name="Econ3_Node_Cert">#REF!</definedName>
    <definedName name="Econ3_Node_Dec">#REF!</definedName>
    <definedName name="Econ3_Node_Depth">#REF!</definedName>
    <definedName name="Econ3_Node_Level">#REF!</definedName>
    <definedName name="Econ3_Node_Name">#REF!</definedName>
    <definedName name="Econ3_Node_Opt">#REF!</definedName>
    <definedName name="Econ3_Node_Type">#REF!</definedName>
    <definedName name="Econ3_Node_Utility">#REF!</definedName>
    <definedName name="Econ3_Node_Value">#REF!</definedName>
    <definedName name="Econ3_NodeData">#REF!</definedName>
    <definedName name="Econ3_Nodes">#REF!</definedName>
    <definedName name="Econ3_Param">#REF!</definedName>
    <definedName name="Econ3_Prob">#REF!</definedName>
    <definedName name="Econ3_To">#REF!</definedName>
    <definedName name="Econ3_To_Name">#REF!</definedName>
    <definedName name="Econ3_Total">#REF!</definedName>
    <definedName name="Econ3_Util_Max">#REF!</definedName>
    <definedName name="Econ3_Util_Min">#REF!</definedName>
    <definedName name="Econ3_Util_Norm">#REF!</definedName>
    <definedName name="Econ3_Util_Param">#REF!</definedName>
    <definedName name="Econ3_Utility">#REF!</definedName>
    <definedName name="Electric_Arc_Cost">'[2]Electric'!$H$3</definedName>
    <definedName name="Electric_Arc_Name">'[2]Electric'!$C$8:$C$14</definedName>
    <definedName name="Electric_ArcData">'[2]Electric'!$B$7:$M$14</definedName>
    <definedName name="Electric_Arcs">'[2]Electric'!$B$8:$B$14</definedName>
    <definedName name="Electric_Bal">'[2]Electric'!$R$8:$R$13</definedName>
    <definedName name="Electric_Cost">'[2]Electric'!$I$8:$I$14</definedName>
    <definedName name="Electric_Fixed">'[2]Electric'!$Q$8:$Q$13</definedName>
    <definedName name="Electric_Flow">'[2]Electric'!$D$8:$D$14</definedName>
    <definedName name="Electric_Flow_O">'[2]Electric'!$M$8:$M$14</definedName>
    <definedName name="Electric_Gain">'[2]Electric'!$J$8:$J$14</definedName>
    <definedName name="Electric_Lower">'[2]Electric'!$G$8:$G$14</definedName>
    <definedName name="Electric_Model">'[2]Electric'!$A$2:$A$7</definedName>
    <definedName name="Electric_NL_Coef">'[2]Electric'!$K$8:$K$14</definedName>
    <definedName name="Electric_NL_Cost">'[2]Electric'!$H$4</definedName>
    <definedName name="Electric_NL_Terms">'[2]Electric'!$L$8:$L$14</definedName>
    <definedName name="Electric_Node_Name">'[2]Electric'!$P$8:$P$13</definedName>
    <definedName name="Electric_NodeData">'[2]Electric'!$O$7:$R$13</definedName>
    <definedName name="Electric_Nodes">'[2]Electric'!$O$8:$O$13</definedName>
    <definedName name="Electric_objdir">'[2]Electric'!$H$2</definedName>
    <definedName name="Electric_Orig">'[2]Electric'!$E$8:$E$14</definedName>
    <definedName name="Electric_Param">'[2]Electric'!$E$1:$E$5</definedName>
    <definedName name="Electric_Solver">'[2]Electric'!$K$2</definedName>
    <definedName name="Electric_Term">'[2]Electric'!$F$8:$F$14</definedName>
    <definedName name="Electric_Total_Cost">'[2]Electric'!$H$5</definedName>
    <definedName name="Electric_Type">'[2]Electric'!$K$3</definedName>
    <definedName name="Electric_Upper">'[2]Electric'!$H$8:$H$14</definedName>
    <definedName name="GenIPBB_BestValue">#REF!</definedName>
    <definedName name="GenIPBB_C">#REF!</definedName>
    <definedName name="GenIPBB_Con">#REF!</definedName>
    <definedName name="GenIPBB_Con_Coef">#REF!</definedName>
    <definedName name="GenIPBB_Con_Lower">#REF!</definedName>
    <definedName name="GenIPBB_Con_Name">#REF!</definedName>
    <definedName name="GenIPBB_Con_Upper">#REF!</definedName>
    <definedName name="GenIPBB_Con_Value">#REF!</definedName>
    <definedName name="GenIPBB_ConData">#REF!</definedName>
    <definedName name="GenIPBB_IntVar">#REF!</definedName>
    <definedName name="GenIPBB_IPSearch">#REF!</definedName>
    <definedName name="GenIPBB_IPStatus">#REF!</definedName>
    <definedName name="GenIPBB_IPTree">#REF!</definedName>
    <definedName name="GenIPBB_L">#REF!</definedName>
    <definedName name="GenIPBB_LO">#REF!</definedName>
    <definedName name="GenIPBB_LPStatus">#REF!</definedName>
    <definedName name="GenIPBB_Obj">#REF!</definedName>
    <definedName name="GenIPBB_Param">#REF!</definedName>
    <definedName name="GenIPBB_SearchIndex">#REF!</definedName>
    <definedName name="GenIPBB_TreeIndex">#REF!</definedName>
    <definedName name="GenIPBB_U">#REF!</definedName>
    <definedName name="GenIPBB_UO">#REF!</definedName>
    <definedName name="GenIPBB_Var">#REF!</definedName>
    <definedName name="GenIPBB_Var_Name">#REF!</definedName>
    <definedName name="GenIPBB_VarData">#REF!</definedName>
    <definedName name="GenIPBB_X">#REF!</definedName>
    <definedName name="GenIPBB_XB">#REF!</definedName>
    <definedName name="LP1_C">#REF!</definedName>
    <definedName name="LP1_Con">#REF!</definedName>
    <definedName name="LP1_Con_Coef">#REF!</definedName>
    <definedName name="LP1_Con_Lower">#REF!</definedName>
    <definedName name="LP1_Con_Name">#REF!</definedName>
    <definedName name="LP1_Con_Upper">#REF!</definedName>
    <definedName name="LP1_Con_Value">#REF!</definedName>
    <definedName name="LP1_ConData">#REF!</definedName>
    <definedName name="LP1_L">#REF!</definedName>
    <definedName name="LP1_Model">#REF!</definedName>
    <definedName name="LP1_Obj">#REF!</definedName>
    <definedName name="LP1_objdir">#REF!</definedName>
    <definedName name="LP1_Param">#REF!</definedName>
    <definedName name="LP1_Solver">#REF!</definedName>
    <definedName name="LP1_Type">#REF!</definedName>
    <definedName name="LP1_U">#REF!</definedName>
    <definedName name="LP1_Var">#REF!</definedName>
    <definedName name="LP1_Var_Name">#REF!</definedName>
    <definedName name="LP1_VarData">#REF!</definedName>
    <definedName name="LP1_X">#REF!</definedName>
    <definedName name="Prod_Integer_C">#REF!</definedName>
    <definedName name="Prod_Integer_Con">#REF!</definedName>
    <definedName name="Prod_Integer_Con_Coef">#REF!</definedName>
    <definedName name="Prod_Integer_Con_Lower">#REF!</definedName>
    <definedName name="Prod_Integer_Con_Name">#REF!</definedName>
    <definedName name="Prod_Integer_Con_Upper">#REF!</definedName>
    <definedName name="Prod_Integer_Con_Value">#REF!</definedName>
    <definedName name="Prod_Integer_ConData">#REF!</definedName>
    <definedName name="Prod_Integer_IntVar">#REF!</definedName>
    <definedName name="Prod_Integer_L">#REF!</definedName>
    <definedName name="Prod_Integer_Model">#REF!</definedName>
    <definedName name="Prod_Integer_Obj">#REF!</definedName>
    <definedName name="Prod_Integer_objdir">#REF!</definedName>
    <definedName name="Prod_Integer_Param">#REF!</definedName>
    <definedName name="Prod_Integer_Solver">#REF!</definedName>
    <definedName name="Prod_Integer_Type">#REF!</definedName>
    <definedName name="Prod_Integer_U">#REF!</definedName>
    <definedName name="Prod_Integer_Var">#REF!</definedName>
    <definedName name="Prod_Integer_Var_Name">#REF!</definedName>
    <definedName name="Prod_Integer_VarData">#REF!</definedName>
    <definedName name="Prod_Integer_X">#REF!</definedName>
    <definedName name="ProdNL0_C">#REF!</definedName>
    <definedName name="ProdNL0_Con">#REF!</definedName>
    <definedName name="ProdNL0_Con_Coef">#REF!</definedName>
    <definedName name="ProdNL0_Con_Lower">#REF!</definedName>
    <definedName name="ProdNL0_Con_Name">#REF!</definedName>
    <definedName name="ProdNL0_Con_Upper">#REF!</definedName>
    <definedName name="ProdNL0_Con_Value">#REF!</definedName>
    <definedName name="ProdNL0_ConData">#REF!</definedName>
    <definedName name="ProdNL0_L">#REF!</definedName>
    <definedName name="ProdNL0_Model">#REF!</definedName>
    <definedName name="ProdNL0_Obj">#REF!</definedName>
    <definedName name="ProdNL0_objdir">#REF!</definedName>
    <definedName name="ProdNL0_ObjTerms">#REF!</definedName>
    <definedName name="ProdNL0_Param">#REF!</definedName>
    <definedName name="ProdNL0_Sep_NL">#REF!</definedName>
    <definedName name="ProdNL0_Sep_NL_Coef">#REF!</definedName>
    <definedName name="ProdNL0_Solver">#REF!</definedName>
    <definedName name="ProdNL0_Type">#REF!</definedName>
    <definedName name="ProdNL0_U">#REF!</definedName>
    <definedName name="ProdNL0_Var">#REF!</definedName>
    <definedName name="ProdNL0_Var_Name">#REF!</definedName>
    <definedName name="ProdNL0_VarData">#REF!</definedName>
    <definedName name="ProdNL0_X">#REF!</definedName>
    <definedName name="Production2_C">#REF!</definedName>
    <definedName name="Production2_Con">#REF!</definedName>
    <definedName name="Production2_Con_Coef">#REF!</definedName>
    <definedName name="Production2_Con_Lower">#REF!</definedName>
    <definedName name="Production2_Con_Name">#REF!</definedName>
    <definedName name="Production2_Con_Upper">#REF!</definedName>
    <definedName name="Production2_Con_Value">#REF!</definedName>
    <definedName name="Production2_ConData">#REF!</definedName>
    <definedName name="Production2_L">#REF!</definedName>
    <definedName name="Production2_Model">#REF!</definedName>
    <definedName name="Production2_Obj">#REF!</definedName>
    <definedName name="Production2_objdir">#REF!</definedName>
    <definedName name="Production2_Param">#REF!</definedName>
    <definedName name="Production2_Solver">#REF!</definedName>
    <definedName name="Production2_Type">#REF!</definedName>
    <definedName name="Production2_U">#REF!</definedName>
    <definedName name="Production2_Var">#REF!</definedName>
    <definedName name="Production2_Var_Name">#REF!</definedName>
    <definedName name="Production2_VarData">#REF!</definedName>
    <definedName name="Production2_X">#REF!</definedName>
    <definedName name="Queue_Arc_Cost">'[2]Queue'!$H$3</definedName>
    <definedName name="Queue_Arc_Name">'[2]Queue'!$C$8:$C$14</definedName>
    <definedName name="Queue_ArcData">'[2]Queue'!$B$7:$M$14</definedName>
    <definedName name="Queue_Arcs">'[2]Queue'!$B$8:$B$14</definedName>
    <definedName name="Queue_Bal">'[2]Queue'!$R$8:$R$11</definedName>
    <definedName name="Queue_Cost">'[2]Queue'!$I$8:$I$14</definedName>
    <definedName name="Queue_Fixed">'[2]Queue'!$Q$8:$Q$11</definedName>
    <definedName name="Queue_Flow">'[2]Queue'!$D$8:$D$14</definedName>
    <definedName name="Queue_Flow_O">'[2]Queue'!$M$8:$M$14</definedName>
    <definedName name="Queue_Gain">'[2]Queue'!$J$8:$J$14</definedName>
    <definedName name="Queue_Lower">'[2]Queue'!$G$8:$G$14</definedName>
    <definedName name="Queue_Model">'[2]Queue'!$A$2:$A$7</definedName>
    <definedName name="Queue_NL_Coef">'[2]Queue'!$K$8:$K$14</definedName>
    <definedName name="Queue_NL_Cost">'[2]Queue'!$H$4</definedName>
    <definedName name="Queue_NL_Terms">'[2]Queue'!$L$8:$L$14</definedName>
    <definedName name="Queue_Node_Name">'[2]Queue'!$P$8:$P$11</definedName>
    <definedName name="Queue_NodeData">'[2]Queue'!$O$7:$R$11</definedName>
    <definedName name="Queue_Nodes">'[2]Queue'!$O$8:$O$11</definedName>
    <definedName name="Queue_objdir">'[2]Queue'!$H$2</definedName>
    <definedName name="Queue_Orig">'[2]Queue'!$E$8:$E$14</definedName>
    <definedName name="Queue_Param">'[2]Queue'!$E$1:$E$5</definedName>
    <definedName name="Queue_Solver">'[2]Queue'!$K$2</definedName>
    <definedName name="Queue_Term">'[2]Queue'!$F$8:$F$14</definedName>
    <definedName name="Queue_Total_Cost">'[2]Queue'!$H$5</definedName>
    <definedName name="Queue_Type">'[2]Queue'!$K$3</definedName>
    <definedName name="Queue_Upper">'[2]Queue'!$H$8:$H$14</definedName>
    <definedName name="Repair_Arc_Name">'Repair'!$K$9:$K$23</definedName>
    <definedName name="Repair_Arc_Value">'Repair'!$G$9:$G$23</definedName>
    <definedName name="Repair_ArcData">'Repair'!$D$8:$L$23</definedName>
    <definedName name="Repair_Arcs">'Repair'!$D$9:$D$23</definedName>
    <definedName name="Repair_DisplayParam">'Repair'!$L$1:$L$5</definedName>
    <definedName name="Repair_DisplayParam2">'Repair'!$O$1:$O$2</definedName>
    <definedName name="Repair_From">'Repair'!$E$9:$E$23</definedName>
    <definedName name="Repair_From_Name">'Repair'!$I$9:$I$23</definedName>
    <definedName name="Repair_GraphicsParam">'Repair'!$I$1:$I$3</definedName>
    <definedName name="Repair_Node_Added">'Repair'!$Q$9:$Q$24</definedName>
    <definedName name="Repair_Node_Dec">'Repair'!$T$9:$T$24</definedName>
    <definedName name="Repair_Node_Depth">'Repair'!$V$9:$V$24</definedName>
    <definedName name="Repair_Node_Level">'Repair'!$U$9:$U$24</definedName>
    <definedName name="Repair_Node_Name">'Repair'!$O$9:$O$24</definedName>
    <definedName name="Repair_Node_Opt">'Repair'!$S$9:$S$24</definedName>
    <definedName name="Repair_Node_Type">'Repair'!$P$9:$P$24</definedName>
    <definedName name="Repair_Node_Value">'Repair'!$R$9:$R$24</definedName>
    <definedName name="Repair_NodeData">'Repair'!$N$8:$V$24</definedName>
    <definedName name="Repair_Nodes">'Repair'!$N$9:$N$24</definedName>
    <definedName name="Repair_Param">'Repair'!$F$1:$F$4</definedName>
    <definedName name="Repair_Prob">'Repair'!$H$9:$H$23</definedName>
    <definedName name="Repair_Test">'Repair'!$AE$10:$AG$14</definedName>
    <definedName name="Repair_Test1_Marginal">'Repair'!$AE$22:$AE$24</definedName>
    <definedName name="Repair_Test1_Posterior">'Repair'!$Z$27:$AD$29</definedName>
    <definedName name="Repair_Test1_Prior">'Repair'!$Z$25:$AD$25</definedName>
    <definedName name="Repair_To">'Repair'!$F$9:$F$23</definedName>
    <definedName name="Repair_To_Name">'Repair'!$J$9:$J$23</definedName>
    <definedName name="Repair_Total">'Repair'!$L$9:$L$23</definedName>
    <definedName name="sencount" hidden="1">7</definedName>
    <definedName name="TeachIP1_C">#REF!</definedName>
    <definedName name="TeachIP1_Con">#REF!</definedName>
    <definedName name="TeachIP1_Con_Coef">#REF!</definedName>
    <definedName name="TeachIP1_Con_Lower">#REF!</definedName>
    <definedName name="TeachIP1_Con_Name">#REF!</definedName>
    <definedName name="TeachIP1_Con_Upper">#REF!</definedName>
    <definedName name="TeachIP1_Con_Value">#REF!</definedName>
    <definedName name="TeachIP1_ConData">#REF!</definedName>
    <definedName name="TeachIP1_IntVar">#REF!</definedName>
    <definedName name="TeachIP1_IPStatus">#REF!</definedName>
    <definedName name="TeachIP1_L">#REF!</definedName>
    <definedName name="TeachIP1_LPStatus">#REF!</definedName>
    <definedName name="TeachIP1_Obj">#REF!</definedName>
    <definedName name="TeachIP1_Param">#REF!</definedName>
    <definedName name="TeachIP1_U">#REF!</definedName>
    <definedName name="TeachIP1_Var">#REF!</definedName>
    <definedName name="TeachIP1_Var_Name">#REF!</definedName>
    <definedName name="TeachIP1_VarData">#REF!</definedName>
    <definedName name="TeachIP1_X">#REF!</definedName>
    <definedName name="test_C">#REF!</definedName>
    <definedName name="test_Con">#REF!</definedName>
    <definedName name="test_Con_Coef">#REF!</definedName>
    <definedName name="test_Con_Lower">#REF!</definedName>
    <definedName name="test_Con_Name">#REF!</definedName>
    <definedName name="test_Con_Upper">#REF!</definedName>
    <definedName name="test_Con_Value">#REF!</definedName>
    <definedName name="test_ConData">#REF!</definedName>
    <definedName name="test_CutIndex">#REF!</definedName>
    <definedName name="test_CutVars">#REF!</definedName>
    <definedName name="test_Gomery">#REF!</definedName>
    <definedName name="test_GomeryCuts">#REF!</definedName>
    <definedName name="test_GomeryVars">#REF!</definedName>
    <definedName name="test_GomList">#REF!</definedName>
    <definedName name="test_IntVar">#REF!</definedName>
    <definedName name="test_IPCut">#REF!</definedName>
    <definedName name="test_IPStatus">#REF!</definedName>
    <definedName name="test_L">#REF!</definedName>
    <definedName name="test_LPStatus">#REF!</definedName>
    <definedName name="test_Obj">#REF!</definedName>
    <definedName name="test_Param">#REF!</definedName>
    <definedName name="test_U">#REF!</definedName>
    <definedName name="test_Var">#REF!</definedName>
    <definedName name="test_Var_Name">#REF!</definedName>
    <definedName name="test_VarData">#REF!</definedName>
    <definedName name="test_X">#REF!</definedName>
    <definedName name="Trans1_CostArray">#REF!</definedName>
    <definedName name="Trans1_Dem_Name">#REF!</definedName>
    <definedName name="Trans1_Dem_Rev">#REF!</definedName>
    <definedName name="Trans1_HorArray">#REF!</definedName>
    <definedName name="Trans1_Model">#REF!</definedName>
    <definedName name="Trans1_Net_Cost">#REF!</definedName>
    <definedName name="Trans1_Objdir">#REF!</definedName>
    <definedName name="Trans1_Options">#REF!</definedName>
    <definedName name="Trans1_Param">#REF!</definedName>
    <definedName name="Trans1_Rec">#REF!</definedName>
    <definedName name="Trans1_RecArray">#REF!</definedName>
    <definedName name="Trans1_Ship">#REF!</definedName>
    <definedName name="Trans1_ShipArray">#REF!</definedName>
    <definedName name="Trans1_Solver">#REF!</definedName>
    <definedName name="Trans1_Sup_Cost">#REF!</definedName>
    <definedName name="Trans1_Sup_Name">#REF!</definedName>
    <definedName name="Trans1_TCost">#REF!</definedName>
    <definedName name="Trans1_TFlow">#REF!</definedName>
    <definedName name="Trans1_TMaxD">#REF!</definedName>
    <definedName name="Trans1_TMaxS">#REF!</definedName>
    <definedName name="Trans1_TMinD">#REF!</definedName>
    <definedName name="Trans1_TMinS">#REF!</definedName>
    <definedName name="Trans1_Trans_Cost">#REF!</definedName>
    <definedName name="Trans1_TRev">#REF!</definedName>
    <definedName name="Trans1_TSCost">#REF!</definedName>
    <definedName name="Trans1_Type">#REF!</definedName>
    <definedName name="Trans1_VertArray">#REF!</definedName>
    <definedName name="xd">'[2]Euclidean'!$B$4:$B$5</definedName>
    <definedName name="xd_R">'[2]Euclidean'!$A$3:$B$5</definedName>
    <definedName name="xd2">'[2]Euclidean2'!$B$3:$B$4</definedName>
    <definedName name="xd2_R">'[2]Euclidean2'!$A$2:$B$4</definedName>
  </definedNames>
  <calcPr fullCalcOnLoad="1"/>
</workbook>
</file>

<file path=xl/sharedStrings.xml><?xml version="1.0" encoding="utf-8"?>
<sst xmlns="http://schemas.openxmlformats.org/spreadsheetml/2006/main" count="1012" uniqueCount="261">
  <si>
    <t>Decision Analysis</t>
  </si>
  <si>
    <t>Repair_Graphics</t>
  </si>
  <si>
    <t>Repl3</t>
  </si>
  <si>
    <t>Y</t>
  </si>
  <si>
    <t>Repl4</t>
  </si>
  <si>
    <t>Z</t>
  </si>
  <si>
    <t>A</t>
  </si>
  <si>
    <t>B</t>
  </si>
  <si>
    <t>C,D,E</t>
  </si>
  <si>
    <t>A,B,E</t>
  </si>
  <si>
    <t>Min</t>
  </si>
  <si>
    <t>Replace Mother Board</t>
  </si>
  <si>
    <t>Test X</t>
  </si>
  <si>
    <t>Test Y</t>
  </si>
  <si>
    <t>Test Z</t>
  </si>
  <si>
    <t>Repair A</t>
  </si>
  <si>
    <t>Repair B</t>
  </si>
  <si>
    <t>Repair C</t>
  </si>
  <si>
    <t>Repair D</t>
  </si>
  <si>
    <t>Bayes (Econ2_B2)</t>
  </si>
  <si>
    <t>Bayes (Repair_Test)</t>
  </si>
  <si>
    <t>Likelihood</t>
  </si>
  <si>
    <t>World(Comp)</t>
  </si>
  <si>
    <t>Exp(Test)</t>
  </si>
  <si>
    <t>P(Test|Comp)</t>
  </si>
  <si>
    <t>Prior</t>
  </si>
  <si>
    <t>P(Comp)</t>
  </si>
  <si>
    <t>Marginal</t>
  </si>
  <si>
    <t>P(Test)</t>
  </si>
  <si>
    <t>Posterior</t>
  </si>
  <si>
    <t>P(Comp|Test)</t>
  </si>
  <si>
    <t>E</t>
  </si>
  <si>
    <t>x1</t>
  </si>
  <si>
    <t>x2</t>
  </si>
  <si>
    <t>x3</t>
  </si>
  <si>
    <t>Decision Tree for problem Repair</t>
  </si>
  <si>
    <t>Opt. Dec.</t>
  </si>
  <si>
    <t>Terminal</t>
  </si>
  <si>
    <t>Repl1(2)</t>
  </si>
  <si>
    <t>Chance</t>
  </si>
  <si>
    <t>X(3)</t>
  </si>
  <si>
    <t>D2(4)</t>
  </si>
  <si>
    <t>D3(5)</t>
  </si>
  <si>
    <t>Repl2(6)</t>
  </si>
  <si>
    <t>Repl3(7)</t>
  </si>
  <si>
    <t>Y(8)</t>
  </si>
  <si>
    <t>Repl4(9)</t>
  </si>
  <si>
    <t>Z(10)</t>
  </si>
  <si>
    <t>A(11)</t>
  </si>
  <si>
    <t>B(12)</t>
  </si>
  <si>
    <t>C,D,E(13)</t>
  </si>
  <si>
    <t>C(14)</t>
  </si>
  <si>
    <t>D(15)</t>
  </si>
  <si>
    <t>A,B,E(16)</t>
  </si>
  <si>
    <t>D1</t>
  </si>
  <si>
    <t>D1(1)</t>
  </si>
  <si>
    <t>Econ1</t>
  </si>
  <si>
    <t>Buttons and User Defined functions are linked to the Add-in with which they are created. This causes problems when opening a file created in one computer in a second computer.</t>
  </si>
  <si>
    <t>When opening a file with links, a dialog may appear asking whether links are to be re-established. Always answer no to this question.</t>
  </si>
  <si>
    <t>When opening a file that has been created on a different computer, always have the appropriate Add-in installed using the Add-in Command under the Tools menu or the OR_MM Control dialog.</t>
  </si>
  <si>
    <t>National Failure(9)</t>
  </si>
  <si>
    <t>Market Locally(10)</t>
  </si>
  <si>
    <t>Market Nationally(11)</t>
  </si>
  <si>
    <t>Graphical Decision tree for the Repair Example</t>
  </si>
  <si>
    <t>A simple decision problem: To make a new design or stick to the current one.</t>
  </si>
  <si>
    <t>The Econ1 problem problem with a utility function</t>
  </si>
  <si>
    <t>Econ1_U_Graphics</t>
  </si>
  <si>
    <t>The Econ problem with tests - Bayes' rule determines probabilities</t>
  </si>
  <si>
    <t>Econ2 Decision Tree</t>
  </si>
  <si>
    <t>Econ1_U Decision Tree</t>
  </si>
  <si>
    <t>Econ2_Graphics</t>
  </si>
  <si>
    <t>A cola marketing problem - Uses utility functions</t>
  </si>
  <si>
    <t>Cola_Graphics</t>
  </si>
  <si>
    <t>Cola Decision Tree</t>
  </si>
  <si>
    <t>National Success(12)</t>
  </si>
  <si>
    <t>National Failure(13)</t>
  </si>
  <si>
    <t>Market Natioinally</t>
  </si>
  <si>
    <t>Market Nationally(14)</t>
  </si>
  <si>
    <t>Market Locally(15)</t>
  </si>
  <si>
    <t>National Success(16)</t>
  </si>
  <si>
    <t>National Failure(17)</t>
  </si>
  <si>
    <t>Decision Tree for problem Econ2</t>
  </si>
  <si>
    <t>Decide to Test(1)</t>
  </si>
  <si>
    <t>No Test(3)</t>
  </si>
  <si>
    <t>NT Current(4)</t>
  </si>
  <si>
    <t>NT New(5)</t>
  </si>
  <si>
    <t>Test Fav.(6)</t>
  </si>
  <si>
    <t>Test Not Fav.(7)</t>
  </si>
  <si>
    <t>T Fav. Curr.(8)</t>
  </si>
  <si>
    <t>Bayes (Repair_Test1)</t>
  </si>
  <si>
    <t>Dec2</t>
  </si>
  <si>
    <t>x</t>
  </si>
  <si>
    <t>U(x)</t>
  </si>
  <si>
    <t>Linear</t>
  </si>
  <si>
    <t>T_10</t>
  </si>
  <si>
    <t>T Fav. New(9)</t>
  </si>
  <si>
    <t>T Not Fav. Curr.(10)</t>
  </si>
  <si>
    <t>T Not Fav. New(11)</t>
  </si>
  <si>
    <t>Z1_90(12)</t>
  </si>
  <si>
    <t>Z2_70(13)</t>
  </si>
  <si>
    <t>Z3_50(14)</t>
  </si>
  <si>
    <t>Z4_30(15)</t>
  </si>
  <si>
    <t>Multiple</t>
  </si>
  <si>
    <t>Dec1</t>
  </si>
  <si>
    <t>T_9</t>
  </si>
  <si>
    <t>T Not Fav. Curr.</t>
  </si>
  <si>
    <t>T Not Fav. New</t>
  </si>
  <si>
    <t>Z1_90</t>
  </si>
  <si>
    <t>Z2_70</t>
  </si>
  <si>
    <t>Z3_50</t>
  </si>
  <si>
    <t>Z4_30</t>
  </si>
  <si>
    <t>Decision Analysis Model</t>
  </si>
  <si>
    <t>Name:</t>
  </si>
  <si>
    <t>Repair</t>
  </si>
  <si>
    <t>Type:</t>
  </si>
  <si>
    <t>For worksheets with buttons, we have included a Relink Buttons command. This command creates new buttons linked to the resident Add-in. If buttons don't work correctly, choose the Relink Buttons command.</t>
  </si>
  <si>
    <t>For worksheets with user defined functions, functions already on the worksheet must be linked to the Add-in for the new computer. Be sure the add-in that provides these functions is installed.</t>
  </si>
  <si>
    <t>If user defined functions are not working, select the Links command on the Edit menu. Select the Update Source command. Browse to find the Add-in to which the functions are to be linked. Pressing the Change button causes the function commands to be update</t>
  </si>
  <si>
    <t>Add-ins Used</t>
  </si>
  <si>
    <t>Power_NS</t>
  </si>
  <si>
    <t>Power distribution model solved by the Jensen Network Solver</t>
  </si>
  <si>
    <t>Computer Repair Example used in the add-in description</t>
  </si>
  <si>
    <t>DA</t>
  </si>
  <si>
    <t>Solver:</t>
  </si>
  <si>
    <t>Functions</t>
  </si>
  <si>
    <t>Goal:</t>
  </si>
  <si>
    <t>Max</t>
  </si>
  <si>
    <t>Titles:</t>
  </si>
  <si>
    <t>Yes</t>
  </si>
  <si>
    <t>All Links:</t>
  </si>
  <si>
    <t>No</t>
  </si>
  <si>
    <t>Auto Place:</t>
  </si>
  <si>
    <t>Arc Params:</t>
  </si>
  <si>
    <t>Arc Values:</t>
  </si>
  <si>
    <t>Node Params:</t>
  </si>
  <si>
    <t>Node Values:</t>
  </si>
  <si>
    <t>Term. Values:</t>
  </si>
  <si>
    <t>Utility:</t>
  </si>
  <si>
    <t>None</t>
  </si>
  <si>
    <t>Tree:</t>
  </si>
  <si>
    <t>Arc Data</t>
  </si>
  <si>
    <t>Arc</t>
  </si>
  <si>
    <t>Index</t>
  </si>
  <si>
    <t>From</t>
  </si>
  <si>
    <t>To</t>
  </si>
  <si>
    <t>Cost</t>
  </si>
  <si>
    <t>Prob.</t>
  </si>
  <si>
    <t>Name</t>
  </si>
  <si>
    <t>Total</t>
  </si>
  <si>
    <t>Node Data</t>
  </si>
  <si>
    <t>Node</t>
  </si>
  <si>
    <t>Type</t>
  </si>
  <si>
    <t>T</t>
  </si>
  <si>
    <t>D</t>
  </si>
  <si>
    <t>Optimum</t>
  </si>
  <si>
    <t>Value</t>
  </si>
  <si>
    <t>Decision</t>
  </si>
  <si>
    <t>Level</t>
  </si>
  <si>
    <t>Depth</t>
  </si>
  <si>
    <t>Change Structure</t>
  </si>
  <si>
    <t>Change Node/Arc</t>
  </si>
  <si>
    <t>Solve</t>
  </si>
  <si>
    <t>Graphics</t>
  </si>
  <si>
    <t>Sort Network</t>
  </si>
  <si>
    <t>Repl1</t>
  </si>
  <si>
    <t>X</t>
  </si>
  <si>
    <t>C</t>
  </si>
  <si>
    <t>D2</t>
  </si>
  <si>
    <t>D3</t>
  </si>
  <si>
    <t>Repl2</t>
  </si>
  <si>
    <t>Decision Analysis Add-in</t>
  </si>
  <si>
    <t>Description</t>
  </si>
  <si>
    <t>Algorithm</t>
  </si>
  <si>
    <t>Design</t>
  </si>
  <si>
    <t>New</t>
  </si>
  <si>
    <t>Current</t>
  </si>
  <si>
    <t>S_90</t>
  </si>
  <si>
    <t>S_70</t>
  </si>
  <si>
    <t>S_50</t>
  </si>
  <si>
    <t>S_30</t>
  </si>
  <si>
    <t>Exp</t>
  </si>
  <si>
    <t>Utility</t>
  </si>
  <si>
    <t>Cert.</t>
  </si>
  <si>
    <t>Equiv.</t>
  </si>
  <si>
    <t>Param.</t>
  </si>
  <si>
    <t>Min.</t>
  </si>
  <si>
    <t>Max.</t>
  </si>
  <si>
    <t>Norm.</t>
  </si>
  <si>
    <t>Function</t>
  </si>
  <si>
    <t>Inverse</t>
  </si>
  <si>
    <t>Update Utility</t>
  </si>
  <si>
    <t>Econ1_U</t>
  </si>
  <si>
    <t>Power</t>
  </si>
  <si>
    <t>Decision Tree for problem Econ1_U</t>
  </si>
  <si>
    <t>Opt. Util.</t>
  </si>
  <si>
    <t>Design(1)</t>
  </si>
  <si>
    <t>Exp. Util.</t>
  </si>
  <si>
    <t>New(2)</t>
  </si>
  <si>
    <t>Current(3)</t>
  </si>
  <si>
    <t>S_90(4)</t>
  </si>
  <si>
    <t>S_70(5)</t>
  </si>
  <si>
    <t>S_50(6)</t>
  </si>
  <si>
    <t>S_30(7)</t>
  </si>
  <si>
    <t>Decide to Test</t>
  </si>
  <si>
    <t>Do Test</t>
  </si>
  <si>
    <t>No Test</t>
  </si>
  <si>
    <t>NT Current</t>
  </si>
  <si>
    <t>NT New</t>
  </si>
  <si>
    <t>Test Fav.</t>
  </si>
  <si>
    <t>Test Not Fav.</t>
  </si>
  <si>
    <t>T Fav. Curr.</t>
  </si>
  <si>
    <t>T Fav. New</t>
  </si>
  <si>
    <t>Econ2</t>
  </si>
  <si>
    <t>D_1</t>
  </si>
  <si>
    <t>C_1</t>
  </si>
  <si>
    <t>Instructions for Demos and Files Created on Another Computer</t>
  </si>
  <si>
    <t>•</t>
  </si>
  <si>
    <t>When an add-in is installed, the OR_MM menu item is placed on the Standard toolbar and the commands unique to the add-in are placed on the OR_MM menu. Select items from this menu to initiate the add-in procedures.</t>
  </si>
  <si>
    <t>Autoplace:</t>
  </si>
  <si>
    <t>C_2</t>
  </si>
  <si>
    <t>D_2</t>
  </si>
  <si>
    <t>D_3</t>
  </si>
  <si>
    <t>D_4</t>
  </si>
  <si>
    <t>D_5</t>
  </si>
  <si>
    <t>C_3</t>
  </si>
  <si>
    <t>C_4</t>
  </si>
  <si>
    <t>C_5</t>
  </si>
  <si>
    <t>T_1</t>
  </si>
  <si>
    <t>T_2</t>
  </si>
  <si>
    <t>T_3</t>
  </si>
  <si>
    <t>T_4</t>
  </si>
  <si>
    <t>T_5</t>
  </si>
  <si>
    <t>T_6</t>
  </si>
  <si>
    <t>T_7</t>
  </si>
  <si>
    <t>T_8</t>
  </si>
  <si>
    <t>Bayes (Econ2_B)</t>
  </si>
  <si>
    <t>World(S)</t>
  </si>
  <si>
    <t>P(Test|S)</t>
  </si>
  <si>
    <t>P(S)</t>
  </si>
  <si>
    <t>P(S|Test)</t>
  </si>
  <si>
    <t>F</t>
  </si>
  <si>
    <t>NF</t>
  </si>
  <si>
    <t>Cola</t>
  </si>
  <si>
    <t>Decision Tree for problem Cola</t>
  </si>
  <si>
    <t>Decide Test</t>
  </si>
  <si>
    <t>Decide Test(1)</t>
  </si>
  <si>
    <t>Do Test(2)</t>
  </si>
  <si>
    <t>Don't Test</t>
  </si>
  <si>
    <t>Don't Test(3)</t>
  </si>
  <si>
    <t>Market Decision</t>
  </si>
  <si>
    <t>Market Decision(4)</t>
  </si>
  <si>
    <t>Market Decision(5)</t>
  </si>
  <si>
    <t>Local Success</t>
  </si>
  <si>
    <t>Local Failure</t>
  </si>
  <si>
    <t>Market Nationally</t>
  </si>
  <si>
    <t>Market Locally</t>
  </si>
  <si>
    <t>Market Locally(6)</t>
  </si>
  <si>
    <t>Market Nationally(7)</t>
  </si>
  <si>
    <t>National Success</t>
  </si>
  <si>
    <t>National Failure</t>
  </si>
  <si>
    <t>National Success(8)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</si>
</sst>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###0.####"/>
    <numFmt numFmtId="166" formatCode="#,##0.##"/>
    <numFmt numFmtId="167" formatCode="0.000"/>
    <numFmt numFmtId="168" formatCode="#,##0.####"/>
  </numFmts>
  <fonts count="1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1"/>
      <name val="Geneva"/>
      <family val="0"/>
    </font>
    <font>
      <sz val="9"/>
      <color indexed="18"/>
      <name val="Geneva"/>
      <family val="0"/>
    </font>
    <font>
      <b/>
      <sz val="9"/>
      <color indexed="10"/>
      <name val="Geneva"/>
      <family val="0"/>
    </font>
    <font>
      <sz val="12"/>
      <name val="Charcoal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u val="single"/>
      <sz val="10"/>
      <color indexed="36"/>
      <name val="Geneva"/>
      <family val="0"/>
    </font>
    <font>
      <sz val="12"/>
      <name val="Geneva"/>
      <family val="0"/>
    </font>
    <font>
      <sz val="10"/>
      <name val="Geneva"/>
      <family val="0"/>
    </font>
    <font>
      <b/>
      <sz val="14"/>
      <name val="Geneva"/>
      <family val="0"/>
    </font>
    <font>
      <sz val="14"/>
      <name val="Geneva"/>
      <family val="0"/>
    </font>
    <font>
      <b/>
      <sz val="12"/>
      <name val="Geneva"/>
      <family val="0"/>
    </font>
    <font>
      <b/>
      <sz val="10"/>
      <name val="Geneva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3" fillId="2" borderId="0">
      <alignment/>
      <protection/>
    </xf>
    <xf numFmtId="0" fontId="0" fillId="2" borderId="0">
      <alignment/>
      <protection/>
    </xf>
    <xf numFmtId="0" fontId="12" fillId="2" borderId="0">
      <alignment/>
      <protection/>
    </xf>
    <xf numFmtId="0" fontId="13" fillId="2" borderId="0">
      <alignment/>
      <protection/>
    </xf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" xfId="0" applyNumberFormat="1" applyBorder="1" applyAlignment="1">
      <alignment/>
    </xf>
    <xf numFmtId="0" fontId="0" fillId="3" borderId="2" xfId="0" applyNumberFormat="1" applyFill="1" applyBorder="1" applyAlignment="1">
      <alignment horizontal="center"/>
    </xf>
    <xf numFmtId="0" fontId="0" fillId="4" borderId="2" xfId="0" applyNumberFormat="1" applyFill="1" applyBorder="1" applyAlignment="1">
      <alignment horizontal="center"/>
    </xf>
    <xf numFmtId="0" fontId="0" fillId="3" borderId="2" xfId="0" applyNumberFormat="1" applyFill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5" borderId="2" xfId="0" applyNumberFormat="1" applyFill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4" borderId="2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13" fillId="0" borderId="0" xfId="25">
      <alignment/>
      <protection/>
    </xf>
    <xf numFmtId="0" fontId="13" fillId="0" borderId="0" xfId="25" applyAlignment="1">
      <alignment horizontal="center" vertical="center"/>
      <protection/>
    </xf>
    <xf numFmtId="0" fontId="14" fillId="0" borderId="0" xfId="25" applyFont="1" applyAlignment="1">
      <alignment horizontal="center" wrapText="1"/>
      <protection/>
    </xf>
    <xf numFmtId="0" fontId="13" fillId="0" borderId="12" xfId="25" applyFont="1" applyBorder="1" applyAlignment="1">
      <alignment wrapText="1"/>
      <protection/>
    </xf>
    <xf numFmtId="0" fontId="13" fillId="0" borderId="13" xfId="25" applyFont="1" applyBorder="1" applyAlignment="1">
      <alignment wrapText="1"/>
      <protection/>
    </xf>
    <xf numFmtId="0" fontId="15" fillId="0" borderId="0" xfId="25" applyFont="1" applyAlignment="1">
      <alignment horizontal="center" vertical="center"/>
      <protection/>
    </xf>
    <xf numFmtId="0" fontId="15" fillId="0" borderId="0" xfId="25" applyFont="1" applyAlignment="1">
      <alignment wrapText="1"/>
      <protection/>
    </xf>
    <xf numFmtId="0" fontId="13" fillId="0" borderId="0" xfId="25" applyFont="1">
      <alignment/>
      <protection/>
    </xf>
    <xf numFmtId="0" fontId="14" fillId="0" borderId="0" xfId="25" applyFont="1" applyAlignment="1">
      <alignment wrapText="1"/>
      <protection/>
    </xf>
    <xf numFmtId="0" fontId="13" fillId="0" borderId="0" xfId="25" applyFont="1" applyAlignment="1">
      <alignment horizontal="center" vertical="center"/>
      <protection/>
    </xf>
    <xf numFmtId="0" fontId="16" fillId="0" borderId="0" xfId="25" applyFont="1" applyAlignment="1">
      <alignment wrapText="1"/>
      <protection/>
    </xf>
    <xf numFmtId="0" fontId="17" fillId="0" borderId="0" xfId="25" applyFont="1">
      <alignment/>
      <protection/>
    </xf>
    <xf numFmtId="0" fontId="9" fillId="0" borderId="2" xfId="22" applyBorder="1" applyAlignment="1">
      <alignment horizontal="center"/>
    </xf>
    <xf numFmtId="0" fontId="13" fillId="0" borderId="0" xfId="25" applyFont="1" applyAlignment="1">
      <alignment wrapText="1"/>
      <protection/>
    </xf>
    <xf numFmtId="0" fontId="9" fillId="0" borderId="9" xfId="22" applyBorder="1" applyAlignment="1">
      <alignment horizontal="center"/>
    </xf>
    <xf numFmtId="0" fontId="9" fillId="0" borderId="11" xfId="22" applyBorder="1" applyAlignment="1">
      <alignment horizontal="center"/>
    </xf>
    <xf numFmtId="0" fontId="13" fillId="0" borderId="0" xfId="25" applyAlignment="1">
      <alignment wrapText="1"/>
      <protection/>
    </xf>
    <xf numFmtId="0" fontId="6" fillId="0" borderId="0" xfId="0" applyFont="1" applyAlignment="1">
      <alignment horizontal="left" vertic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llowed Hyperlink_ch10.xls" xfId="20"/>
    <cellStyle name="Followed Hyperlink_mpdem.xls2" xfId="21"/>
    <cellStyle name="Hyperlink" xfId="22"/>
    <cellStyle name="Normal_ch09.xls" xfId="23"/>
    <cellStyle name="Normal_ch10.xls" xfId="24"/>
    <cellStyle name="Normal_mpdem.xls" xfId="25"/>
    <cellStyle name="Percent" xfId="26"/>
    <cellStyle name="PJStyle" xfId="27"/>
    <cellStyle name="PJStyle_ch09.xls" xfId="28"/>
    <cellStyle name="PJStyle_ch10.xls" xfId="29"/>
    <cellStyle name="PJStyle_mpdem.xls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0</xdr:rowOff>
    </xdr:from>
    <xdr:to>
      <xdr:col>1</xdr:col>
      <xdr:colOff>0</xdr:colOff>
      <xdr:row>3</xdr:row>
      <xdr:rowOff>85725</xdr:rowOff>
    </xdr:to>
    <xdr:sp macro="[1]!DAChangeNetwork">
      <xdr:nvSpPr>
        <xdr:cNvPr id="1" name="Oval 6"/>
        <xdr:cNvSpPr>
          <a:spLocks/>
        </xdr:cNvSpPr>
      </xdr:nvSpPr>
      <xdr:spPr>
        <a:xfrm>
          <a:off x="266700" y="3524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0</xdr:colOff>
      <xdr:row>5</xdr:row>
      <xdr:rowOff>85725</xdr:rowOff>
    </xdr:to>
    <xdr:sp macro="[1]!DAAddNode">
      <xdr:nvSpPr>
        <xdr:cNvPr id="2" name="Oval 7"/>
        <xdr:cNvSpPr>
          <a:spLocks/>
        </xdr:cNvSpPr>
      </xdr:nvSpPr>
      <xdr:spPr>
        <a:xfrm>
          <a:off x="266700" y="67627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6</xdr:row>
      <xdr:rowOff>0</xdr:rowOff>
    </xdr:from>
    <xdr:to>
      <xdr:col>1</xdr:col>
      <xdr:colOff>0</xdr:colOff>
      <xdr:row>7</xdr:row>
      <xdr:rowOff>85725</xdr:rowOff>
    </xdr:to>
    <xdr:sp macro="[1]!DASolveNetwork">
      <xdr:nvSpPr>
        <xdr:cNvPr id="3" name="Oval 8"/>
        <xdr:cNvSpPr>
          <a:spLocks/>
        </xdr:cNvSpPr>
      </xdr:nvSpPr>
      <xdr:spPr>
        <a:xfrm>
          <a:off x="266700" y="10001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0</xdr:colOff>
      <xdr:row>9</xdr:row>
      <xdr:rowOff>85725</xdr:rowOff>
    </xdr:to>
    <xdr:sp macro="[1]!DAGraphNetwork">
      <xdr:nvSpPr>
        <xdr:cNvPr id="4" name="Oval 9"/>
        <xdr:cNvSpPr>
          <a:spLocks/>
        </xdr:cNvSpPr>
      </xdr:nvSpPr>
      <xdr:spPr>
        <a:xfrm>
          <a:off x="266700" y="132397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10</xdr:row>
      <xdr:rowOff>0</xdr:rowOff>
    </xdr:from>
    <xdr:to>
      <xdr:col>1</xdr:col>
      <xdr:colOff>0</xdr:colOff>
      <xdr:row>11</xdr:row>
      <xdr:rowOff>85725</xdr:rowOff>
    </xdr:to>
    <xdr:sp macro="[1]!DASortNetwork">
      <xdr:nvSpPr>
        <xdr:cNvPr id="5" name="Oval 10"/>
        <xdr:cNvSpPr>
          <a:spLocks/>
        </xdr:cNvSpPr>
      </xdr:nvSpPr>
      <xdr:spPr>
        <a:xfrm>
          <a:off x="266700" y="16478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0</xdr:rowOff>
    </xdr:from>
    <xdr:to>
      <xdr:col>1</xdr:col>
      <xdr:colOff>0</xdr:colOff>
      <xdr:row>3</xdr:row>
      <xdr:rowOff>85725</xdr:rowOff>
    </xdr:to>
    <xdr:sp macro="[3]!DAChangeNetwork">
      <xdr:nvSpPr>
        <xdr:cNvPr id="1" name="Oval 7"/>
        <xdr:cNvSpPr>
          <a:spLocks/>
        </xdr:cNvSpPr>
      </xdr:nvSpPr>
      <xdr:spPr>
        <a:xfrm>
          <a:off x="266700" y="3524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0</xdr:colOff>
      <xdr:row>5</xdr:row>
      <xdr:rowOff>85725</xdr:rowOff>
    </xdr:to>
    <xdr:sp macro="[3]!DAAddNode">
      <xdr:nvSpPr>
        <xdr:cNvPr id="2" name="Oval 8"/>
        <xdr:cNvSpPr>
          <a:spLocks/>
        </xdr:cNvSpPr>
      </xdr:nvSpPr>
      <xdr:spPr>
        <a:xfrm>
          <a:off x="266700" y="67627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6</xdr:row>
      <xdr:rowOff>0</xdr:rowOff>
    </xdr:from>
    <xdr:to>
      <xdr:col>1</xdr:col>
      <xdr:colOff>0</xdr:colOff>
      <xdr:row>7</xdr:row>
      <xdr:rowOff>85725</xdr:rowOff>
    </xdr:to>
    <xdr:sp macro="[3]!DASolveNetwork">
      <xdr:nvSpPr>
        <xdr:cNvPr id="3" name="Oval 9"/>
        <xdr:cNvSpPr>
          <a:spLocks/>
        </xdr:cNvSpPr>
      </xdr:nvSpPr>
      <xdr:spPr>
        <a:xfrm>
          <a:off x="266700" y="10001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0</xdr:colOff>
      <xdr:row>9</xdr:row>
      <xdr:rowOff>85725</xdr:rowOff>
    </xdr:to>
    <xdr:sp macro="[3]!DAGraphNetwork">
      <xdr:nvSpPr>
        <xdr:cNvPr id="4" name="Oval 10"/>
        <xdr:cNvSpPr>
          <a:spLocks/>
        </xdr:cNvSpPr>
      </xdr:nvSpPr>
      <xdr:spPr>
        <a:xfrm>
          <a:off x="266700" y="132397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10</xdr:row>
      <xdr:rowOff>0</xdr:rowOff>
    </xdr:from>
    <xdr:to>
      <xdr:col>1</xdr:col>
      <xdr:colOff>0</xdr:colOff>
      <xdr:row>11</xdr:row>
      <xdr:rowOff>85725</xdr:rowOff>
    </xdr:to>
    <xdr:sp macro="[3]!DASortNetwork">
      <xdr:nvSpPr>
        <xdr:cNvPr id="5" name="Oval 11"/>
        <xdr:cNvSpPr>
          <a:spLocks/>
        </xdr:cNvSpPr>
      </xdr:nvSpPr>
      <xdr:spPr>
        <a:xfrm>
          <a:off x="266700" y="16478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266700</xdr:colOff>
      <xdr:row>3</xdr:row>
      <xdr:rowOff>0</xdr:rowOff>
    </xdr:from>
    <xdr:to>
      <xdr:col>20</xdr:col>
      <xdr:colOff>0</xdr:colOff>
      <xdr:row>4</xdr:row>
      <xdr:rowOff>85725</xdr:rowOff>
    </xdr:to>
    <xdr:sp macro="[3]!updateUtility">
      <xdr:nvSpPr>
        <xdr:cNvPr id="6" name="Oval 12"/>
        <xdr:cNvSpPr>
          <a:spLocks/>
        </xdr:cNvSpPr>
      </xdr:nvSpPr>
      <xdr:spPr>
        <a:xfrm>
          <a:off x="10220325" y="514350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</xdr:row>
      <xdr:rowOff>0</xdr:rowOff>
    </xdr:from>
    <xdr:to>
      <xdr:col>1</xdr:col>
      <xdr:colOff>0</xdr:colOff>
      <xdr:row>3</xdr:row>
      <xdr:rowOff>85725</xdr:rowOff>
    </xdr:to>
    <xdr:sp macro="[3]!DAChangeNetwork">
      <xdr:nvSpPr>
        <xdr:cNvPr id="1" name="Oval 12"/>
        <xdr:cNvSpPr>
          <a:spLocks/>
        </xdr:cNvSpPr>
      </xdr:nvSpPr>
      <xdr:spPr>
        <a:xfrm>
          <a:off x="400050" y="352425"/>
          <a:ext cx="12382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400050</xdr:colOff>
      <xdr:row>4</xdr:row>
      <xdr:rowOff>0</xdr:rowOff>
    </xdr:from>
    <xdr:to>
      <xdr:col>1</xdr:col>
      <xdr:colOff>0</xdr:colOff>
      <xdr:row>5</xdr:row>
      <xdr:rowOff>85725</xdr:rowOff>
    </xdr:to>
    <xdr:sp macro="[3]!DAAddNode">
      <xdr:nvSpPr>
        <xdr:cNvPr id="2" name="Oval 13"/>
        <xdr:cNvSpPr>
          <a:spLocks/>
        </xdr:cNvSpPr>
      </xdr:nvSpPr>
      <xdr:spPr>
        <a:xfrm>
          <a:off x="400050" y="676275"/>
          <a:ext cx="12382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400050</xdr:colOff>
      <xdr:row>6</xdr:row>
      <xdr:rowOff>0</xdr:rowOff>
    </xdr:from>
    <xdr:to>
      <xdr:col>1</xdr:col>
      <xdr:colOff>0</xdr:colOff>
      <xdr:row>7</xdr:row>
      <xdr:rowOff>85725</xdr:rowOff>
    </xdr:to>
    <xdr:sp macro="[3]!DASolveNetwork">
      <xdr:nvSpPr>
        <xdr:cNvPr id="3" name="Oval 14"/>
        <xdr:cNvSpPr>
          <a:spLocks/>
        </xdr:cNvSpPr>
      </xdr:nvSpPr>
      <xdr:spPr>
        <a:xfrm>
          <a:off x="400050" y="1000125"/>
          <a:ext cx="12382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400050</xdr:colOff>
      <xdr:row>8</xdr:row>
      <xdr:rowOff>0</xdr:rowOff>
    </xdr:from>
    <xdr:to>
      <xdr:col>1</xdr:col>
      <xdr:colOff>0</xdr:colOff>
      <xdr:row>9</xdr:row>
      <xdr:rowOff>85725</xdr:rowOff>
    </xdr:to>
    <xdr:sp macro="[3]!DAGraphNetwork">
      <xdr:nvSpPr>
        <xdr:cNvPr id="4" name="Oval 15"/>
        <xdr:cNvSpPr>
          <a:spLocks/>
        </xdr:cNvSpPr>
      </xdr:nvSpPr>
      <xdr:spPr>
        <a:xfrm>
          <a:off x="400050" y="1323975"/>
          <a:ext cx="12382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400050</xdr:colOff>
      <xdr:row>10</xdr:row>
      <xdr:rowOff>0</xdr:rowOff>
    </xdr:from>
    <xdr:to>
      <xdr:col>1</xdr:col>
      <xdr:colOff>0</xdr:colOff>
      <xdr:row>11</xdr:row>
      <xdr:rowOff>85725</xdr:rowOff>
    </xdr:to>
    <xdr:sp macro="[3]!DASortNetwork">
      <xdr:nvSpPr>
        <xdr:cNvPr id="5" name="Oval 16"/>
        <xdr:cNvSpPr>
          <a:spLocks/>
        </xdr:cNvSpPr>
      </xdr:nvSpPr>
      <xdr:spPr>
        <a:xfrm>
          <a:off x="400050" y="1647825"/>
          <a:ext cx="12382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638175</xdr:colOff>
      <xdr:row>3</xdr:row>
      <xdr:rowOff>0</xdr:rowOff>
    </xdr:from>
    <xdr:to>
      <xdr:col>20</xdr:col>
      <xdr:colOff>0</xdr:colOff>
      <xdr:row>4</xdr:row>
      <xdr:rowOff>85725</xdr:rowOff>
    </xdr:to>
    <xdr:sp macro="[3]!updateUtility">
      <xdr:nvSpPr>
        <xdr:cNvPr id="6" name="Oval 17"/>
        <xdr:cNvSpPr>
          <a:spLocks/>
        </xdr:cNvSpPr>
      </xdr:nvSpPr>
      <xdr:spPr>
        <a:xfrm>
          <a:off x="11068050" y="514350"/>
          <a:ext cx="12382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" name="Line 112"/>
        <xdr:cNvSpPr>
          <a:spLocks/>
        </xdr:cNvSpPr>
      </xdr:nvSpPr>
      <xdr:spPr>
        <a:xfrm>
          <a:off x="3238500" y="933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" name="Line 113"/>
        <xdr:cNvSpPr>
          <a:spLocks/>
        </xdr:cNvSpPr>
      </xdr:nvSpPr>
      <xdr:spPr>
        <a:xfrm>
          <a:off x="3762375" y="933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7</xdr:col>
      <xdr:colOff>0</xdr:colOff>
      <xdr:row>12</xdr:row>
      <xdr:rowOff>0</xdr:rowOff>
    </xdr:to>
    <xdr:sp>
      <xdr:nvSpPr>
        <xdr:cNvPr id="3" name="Line 114"/>
        <xdr:cNvSpPr>
          <a:spLocks/>
        </xdr:cNvSpPr>
      </xdr:nvSpPr>
      <xdr:spPr>
        <a:xfrm>
          <a:off x="3238500" y="933450"/>
          <a:ext cx="5238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" name="Line 115"/>
        <xdr:cNvSpPr>
          <a:spLocks/>
        </xdr:cNvSpPr>
      </xdr:nvSpPr>
      <xdr:spPr>
        <a:xfrm>
          <a:off x="3762375" y="18859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10</xdr:col>
      <xdr:colOff>0</xdr:colOff>
      <xdr:row>12</xdr:row>
      <xdr:rowOff>0</xdr:rowOff>
    </xdr:to>
    <xdr:sp>
      <xdr:nvSpPr>
        <xdr:cNvPr id="5" name="Line 116"/>
        <xdr:cNvSpPr>
          <a:spLocks/>
        </xdr:cNvSpPr>
      </xdr:nvSpPr>
      <xdr:spPr>
        <a:xfrm flipV="1">
          <a:off x="4905375" y="933450"/>
          <a:ext cx="5238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" name="Line 117"/>
        <xdr:cNvSpPr>
          <a:spLocks/>
        </xdr:cNvSpPr>
      </xdr:nvSpPr>
      <xdr:spPr>
        <a:xfrm>
          <a:off x="5429250" y="933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7" name="Line 118"/>
        <xdr:cNvSpPr>
          <a:spLocks/>
        </xdr:cNvSpPr>
      </xdr:nvSpPr>
      <xdr:spPr>
        <a:xfrm>
          <a:off x="4905375" y="18859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8" name="Line 119"/>
        <xdr:cNvSpPr>
          <a:spLocks/>
        </xdr:cNvSpPr>
      </xdr:nvSpPr>
      <xdr:spPr>
        <a:xfrm>
          <a:off x="5429250" y="18859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18</xdr:row>
      <xdr:rowOff>0</xdr:rowOff>
    </xdr:to>
    <xdr:sp>
      <xdr:nvSpPr>
        <xdr:cNvPr id="9" name="Line 120"/>
        <xdr:cNvSpPr>
          <a:spLocks/>
        </xdr:cNvSpPr>
      </xdr:nvSpPr>
      <xdr:spPr>
        <a:xfrm>
          <a:off x="4905375" y="1885950"/>
          <a:ext cx="5238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>
      <xdr:nvSpPr>
        <xdr:cNvPr id="10" name="Line 121"/>
        <xdr:cNvSpPr>
          <a:spLocks/>
        </xdr:cNvSpPr>
      </xdr:nvSpPr>
      <xdr:spPr>
        <a:xfrm>
          <a:off x="5429250" y="2838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1" name="Line 122"/>
        <xdr:cNvSpPr>
          <a:spLocks/>
        </xdr:cNvSpPr>
      </xdr:nvSpPr>
      <xdr:spPr>
        <a:xfrm>
          <a:off x="6553200" y="933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2" name="Line 123"/>
        <xdr:cNvSpPr>
          <a:spLocks/>
        </xdr:cNvSpPr>
      </xdr:nvSpPr>
      <xdr:spPr>
        <a:xfrm>
          <a:off x="7077075" y="933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0</xdr:colOff>
      <xdr:row>12</xdr:row>
      <xdr:rowOff>0</xdr:rowOff>
    </xdr:to>
    <xdr:sp>
      <xdr:nvSpPr>
        <xdr:cNvPr id="13" name="Line 124"/>
        <xdr:cNvSpPr>
          <a:spLocks/>
        </xdr:cNvSpPr>
      </xdr:nvSpPr>
      <xdr:spPr>
        <a:xfrm>
          <a:off x="6553200" y="933450"/>
          <a:ext cx="5238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4" name="Line 125"/>
        <xdr:cNvSpPr>
          <a:spLocks/>
        </xdr:cNvSpPr>
      </xdr:nvSpPr>
      <xdr:spPr>
        <a:xfrm>
          <a:off x="7077075" y="18859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18</xdr:row>
      <xdr:rowOff>0</xdr:rowOff>
    </xdr:to>
    <xdr:sp>
      <xdr:nvSpPr>
        <xdr:cNvPr id="15" name="Line 126"/>
        <xdr:cNvSpPr>
          <a:spLocks/>
        </xdr:cNvSpPr>
      </xdr:nvSpPr>
      <xdr:spPr>
        <a:xfrm>
          <a:off x="6553200" y="1885950"/>
          <a:ext cx="5238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6" name="Line 127"/>
        <xdr:cNvSpPr>
          <a:spLocks/>
        </xdr:cNvSpPr>
      </xdr:nvSpPr>
      <xdr:spPr>
        <a:xfrm>
          <a:off x="7077075" y="2838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24</xdr:row>
      <xdr:rowOff>0</xdr:rowOff>
    </xdr:to>
    <xdr:sp>
      <xdr:nvSpPr>
        <xdr:cNvPr id="17" name="Line 128"/>
        <xdr:cNvSpPr>
          <a:spLocks/>
        </xdr:cNvSpPr>
      </xdr:nvSpPr>
      <xdr:spPr>
        <a:xfrm>
          <a:off x="6553200" y="1885950"/>
          <a:ext cx="523875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18" name="Line 129"/>
        <xdr:cNvSpPr>
          <a:spLocks/>
        </xdr:cNvSpPr>
      </xdr:nvSpPr>
      <xdr:spPr>
        <a:xfrm>
          <a:off x="7077075" y="37814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12</xdr:row>
      <xdr:rowOff>0</xdr:rowOff>
    </xdr:to>
    <xdr:sp>
      <xdr:nvSpPr>
        <xdr:cNvPr id="19" name="Line 130"/>
        <xdr:cNvSpPr>
          <a:spLocks/>
        </xdr:cNvSpPr>
      </xdr:nvSpPr>
      <xdr:spPr>
        <a:xfrm flipV="1">
          <a:off x="8201025" y="933450"/>
          <a:ext cx="5238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0" name="Line 131"/>
        <xdr:cNvSpPr>
          <a:spLocks/>
        </xdr:cNvSpPr>
      </xdr:nvSpPr>
      <xdr:spPr>
        <a:xfrm>
          <a:off x="8724900" y="933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21" name="Line 132"/>
        <xdr:cNvSpPr>
          <a:spLocks/>
        </xdr:cNvSpPr>
      </xdr:nvSpPr>
      <xdr:spPr>
        <a:xfrm>
          <a:off x="8201025" y="18859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2" name="Line 133"/>
        <xdr:cNvSpPr>
          <a:spLocks/>
        </xdr:cNvSpPr>
      </xdr:nvSpPr>
      <xdr:spPr>
        <a:xfrm>
          <a:off x="8724900" y="18859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18</xdr:row>
      <xdr:rowOff>0</xdr:rowOff>
    </xdr:to>
    <xdr:sp>
      <xdr:nvSpPr>
        <xdr:cNvPr id="23" name="Line 134"/>
        <xdr:cNvSpPr>
          <a:spLocks/>
        </xdr:cNvSpPr>
      </xdr:nvSpPr>
      <xdr:spPr>
        <a:xfrm>
          <a:off x="8201025" y="1885950"/>
          <a:ext cx="5238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24" name="Line 135"/>
        <xdr:cNvSpPr>
          <a:spLocks/>
        </xdr:cNvSpPr>
      </xdr:nvSpPr>
      <xdr:spPr>
        <a:xfrm>
          <a:off x="8724900" y="2838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>
      <xdr:nvSpPr>
        <xdr:cNvPr id="25" name="Line 136"/>
        <xdr:cNvSpPr>
          <a:spLocks/>
        </xdr:cNvSpPr>
      </xdr:nvSpPr>
      <xdr:spPr>
        <a:xfrm>
          <a:off x="8201025" y="37814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26" name="Line 137"/>
        <xdr:cNvSpPr>
          <a:spLocks/>
        </xdr:cNvSpPr>
      </xdr:nvSpPr>
      <xdr:spPr>
        <a:xfrm>
          <a:off x="8724900" y="37814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16</xdr:col>
      <xdr:colOff>0</xdr:colOff>
      <xdr:row>30</xdr:row>
      <xdr:rowOff>0</xdr:rowOff>
    </xdr:to>
    <xdr:sp>
      <xdr:nvSpPr>
        <xdr:cNvPr id="27" name="Line 138"/>
        <xdr:cNvSpPr>
          <a:spLocks/>
        </xdr:cNvSpPr>
      </xdr:nvSpPr>
      <xdr:spPr>
        <a:xfrm>
          <a:off x="8201025" y="3781425"/>
          <a:ext cx="5238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17</xdr:col>
      <xdr:colOff>0</xdr:colOff>
      <xdr:row>30</xdr:row>
      <xdr:rowOff>0</xdr:rowOff>
    </xdr:to>
    <xdr:sp>
      <xdr:nvSpPr>
        <xdr:cNvPr id="28" name="Line 139"/>
        <xdr:cNvSpPr>
          <a:spLocks/>
        </xdr:cNvSpPr>
      </xdr:nvSpPr>
      <xdr:spPr>
        <a:xfrm>
          <a:off x="8724900" y="47244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16</xdr:col>
      <xdr:colOff>0</xdr:colOff>
      <xdr:row>36</xdr:row>
      <xdr:rowOff>0</xdr:rowOff>
    </xdr:to>
    <xdr:sp>
      <xdr:nvSpPr>
        <xdr:cNvPr id="29" name="Line 140"/>
        <xdr:cNvSpPr>
          <a:spLocks/>
        </xdr:cNvSpPr>
      </xdr:nvSpPr>
      <xdr:spPr>
        <a:xfrm>
          <a:off x="8201025" y="3781425"/>
          <a:ext cx="523875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17</xdr:col>
      <xdr:colOff>0</xdr:colOff>
      <xdr:row>36</xdr:row>
      <xdr:rowOff>0</xdr:rowOff>
    </xdr:to>
    <xdr:sp>
      <xdr:nvSpPr>
        <xdr:cNvPr id="30" name="Line 141"/>
        <xdr:cNvSpPr>
          <a:spLocks/>
        </xdr:cNvSpPr>
      </xdr:nvSpPr>
      <xdr:spPr>
        <a:xfrm>
          <a:off x="8724900" y="56673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7</xdr:col>
      <xdr:colOff>0</xdr:colOff>
      <xdr:row>12</xdr:row>
      <xdr:rowOff>0</xdr:rowOff>
    </xdr:to>
    <xdr:sp>
      <xdr:nvSpPr>
        <xdr:cNvPr id="31" name="Line 142"/>
        <xdr:cNvSpPr>
          <a:spLocks/>
        </xdr:cNvSpPr>
      </xdr:nvSpPr>
      <xdr:spPr>
        <a:xfrm>
          <a:off x="3238500" y="933450"/>
          <a:ext cx="523875" cy="9525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2" name="Line 143"/>
        <xdr:cNvSpPr>
          <a:spLocks/>
        </xdr:cNvSpPr>
      </xdr:nvSpPr>
      <xdr:spPr>
        <a:xfrm>
          <a:off x="3762375" y="1885950"/>
          <a:ext cx="5238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0</xdr:colOff>
      <xdr:row>12</xdr:row>
      <xdr:rowOff>0</xdr:rowOff>
    </xdr:to>
    <xdr:sp>
      <xdr:nvSpPr>
        <xdr:cNvPr id="33" name="Line 144"/>
        <xdr:cNvSpPr>
          <a:spLocks/>
        </xdr:cNvSpPr>
      </xdr:nvSpPr>
      <xdr:spPr>
        <a:xfrm>
          <a:off x="6553200" y="933450"/>
          <a:ext cx="523875" cy="9525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34" name="Line 145"/>
        <xdr:cNvSpPr>
          <a:spLocks/>
        </xdr:cNvSpPr>
      </xdr:nvSpPr>
      <xdr:spPr>
        <a:xfrm>
          <a:off x="7077075" y="1885950"/>
          <a:ext cx="5238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24</xdr:row>
      <xdr:rowOff>0</xdr:rowOff>
    </xdr:to>
    <xdr:sp>
      <xdr:nvSpPr>
        <xdr:cNvPr id="35" name="Line 146"/>
        <xdr:cNvSpPr>
          <a:spLocks/>
        </xdr:cNvSpPr>
      </xdr:nvSpPr>
      <xdr:spPr>
        <a:xfrm>
          <a:off x="6553200" y="1885950"/>
          <a:ext cx="523875" cy="18954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36" name="Line 147"/>
        <xdr:cNvSpPr>
          <a:spLocks/>
        </xdr:cNvSpPr>
      </xdr:nvSpPr>
      <xdr:spPr>
        <a:xfrm>
          <a:off x="7077075" y="3781425"/>
          <a:ext cx="5238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0</xdr:rowOff>
    </xdr:from>
    <xdr:to>
      <xdr:col>1</xdr:col>
      <xdr:colOff>0</xdr:colOff>
      <xdr:row>3</xdr:row>
      <xdr:rowOff>85725</xdr:rowOff>
    </xdr:to>
    <xdr:sp macro="[1]!DAChangeNetwork">
      <xdr:nvSpPr>
        <xdr:cNvPr id="1" name="Oval 6"/>
        <xdr:cNvSpPr>
          <a:spLocks/>
        </xdr:cNvSpPr>
      </xdr:nvSpPr>
      <xdr:spPr>
        <a:xfrm>
          <a:off x="266700" y="3524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0</xdr:colOff>
      <xdr:row>5</xdr:row>
      <xdr:rowOff>85725</xdr:rowOff>
    </xdr:to>
    <xdr:sp macro="[1]!DAAddNode">
      <xdr:nvSpPr>
        <xdr:cNvPr id="2" name="Oval 7"/>
        <xdr:cNvSpPr>
          <a:spLocks/>
        </xdr:cNvSpPr>
      </xdr:nvSpPr>
      <xdr:spPr>
        <a:xfrm>
          <a:off x="266700" y="67627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6</xdr:row>
      <xdr:rowOff>0</xdr:rowOff>
    </xdr:from>
    <xdr:to>
      <xdr:col>1</xdr:col>
      <xdr:colOff>0</xdr:colOff>
      <xdr:row>7</xdr:row>
      <xdr:rowOff>85725</xdr:rowOff>
    </xdr:to>
    <xdr:sp macro="[1]!DASolveNetwork">
      <xdr:nvSpPr>
        <xdr:cNvPr id="3" name="Oval 8"/>
        <xdr:cNvSpPr>
          <a:spLocks/>
        </xdr:cNvSpPr>
      </xdr:nvSpPr>
      <xdr:spPr>
        <a:xfrm>
          <a:off x="266700" y="10001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0</xdr:colOff>
      <xdr:row>9</xdr:row>
      <xdr:rowOff>85725</xdr:rowOff>
    </xdr:to>
    <xdr:sp macro="[1]!DAGraphNetwork">
      <xdr:nvSpPr>
        <xdr:cNvPr id="4" name="Oval 9"/>
        <xdr:cNvSpPr>
          <a:spLocks/>
        </xdr:cNvSpPr>
      </xdr:nvSpPr>
      <xdr:spPr>
        <a:xfrm>
          <a:off x="266700" y="132397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10</xdr:row>
      <xdr:rowOff>0</xdr:rowOff>
    </xdr:from>
    <xdr:to>
      <xdr:col>1</xdr:col>
      <xdr:colOff>0</xdr:colOff>
      <xdr:row>11</xdr:row>
      <xdr:rowOff>85725</xdr:rowOff>
    </xdr:to>
    <xdr:sp macro="[1]!DASortNetwork">
      <xdr:nvSpPr>
        <xdr:cNvPr id="5" name="Oval 10"/>
        <xdr:cNvSpPr>
          <a:spLocks/>
        </xdr:cNvSpPr>
      </xdr:nvSpPr>
      <xdr:spPr>
        <a:xfrm>
          <a:off x="266700" y="16478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0</xdr:rowOff>
    </xdr:from>
    <xdr:to>
      <xdr:col>1</xdr:col>
      <xdr:colOff>0</xdr:colOff>
      <xdr:row>3</xdr:row>
      <xdr:rowOff>85725</xdr:rowOff>
    </xdr:to>
    <xdr:sp macro="[1]!DAChangeNetwork">
      <xdr:nvSpPr>
        <xdr:cNvPr id="1" name="Oval 13"/>
        <xdr:cNvSpPr>
          <a:spLocks/>
        </xdr:cNvSpPr>
      </xdr:nvSpPr>
      <xdr:spPr>
        <a:xfrm>
          <a:off x="266700" y="3524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0</xdr:colOff>
      <xdr:row>5</xdr:row>
      <xdr:rowOff>85725</xdr:rowOff>
    </xdr:to>
    <xdr:sp macro="[1]!DAAddNode">
      <xdr:nvSpPr>
        <xdr:cNvPr id="2" name="Oval 14"/>
        <xdr:cNvSpPr>
          <a:spLocks/>
        </xdr:cNvSpPr>
      </xdr:nvSpPr>
      <xdr:spPr>
        <a:xfrm>
          <a:off x="266700" y="67627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6</xdr:row>
      <xdr:rowOff>0</xdr:rowOff>
    </xdr:from>
    <xdr:to>
      <xdr:col>1</xdr:col>
      <xdr:colOff>0</xdr:colOff>
      <xdr:row>7</xdr:row>
      <xdr:rowOff>85725</xdr:rowOff>
    </xdr:to>
    <xdr:sp macro="[1]!DASolveNetwork">
      <xdr:nvSpPr>
        <xdr:cNvPr id="3" name="Oval 15"/>
        <xdr:cNvSpPr>
          <a:spLocks/>
        </xdr:cNvSpPr>
      </xdr:nvSpPr>
      <xdr:spPr>
        <a:xfrm>
          <a:off x="266700" y="10001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0</xdr:colOff>
      <xdr:row>9</xdr:row>
      <xdr:rowOff>85725</xdr:rowOff>
    </xdr:to>
    <xdr:sp macro="[1]!DAGraphNetwork">
      <xdr:nvSpPr>
        <xdr:cNvPr id="4" name="Oval 16"/>
        <xdr:cNvSpPr>
          <a:spLocks/>
        </xdr:cNvSpPr>
      </xdr:nvSpPr>
      <xdr:spPr>
        <a:xfrm>
          <a:off x="266700" y="132397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10</xdr:row>
      <xdr:rowOff>0</xdr:rowOff>
    </xdr:from>
    <xdr:to>
      <xdr:col>1</xdr:col>
      <xdr:colOff>0</xdr:colOff>
      <xdr:row>11</xdr:row>
      <xdr:rowOff>85725</xdr:rowOff>
    </xdr:to>
    <xdr:sp macro="[1]!DASortNetwork">
      <xdr:nvSpPr>
        <xdr:cNvPr id="5" name="Oval 17"/>
        <xdr:cNvSpPr>
          <a:spLocks/>
        </xdr:cNvSpPr>
      </xdr:nvSpPr>
      <xdr:spPr>
        <a:xfrm>
          <a:off x="266700" y="16478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266700</xdr:colOff>
      <xdr:row>3</xdr:row>
      <xdr:rowOff>0</xdr:rowOff>
    </xdr:from>
    <xdr:to>
      <xdr:col>20</xdr:col>
      <xdr:colOff>0</xdr:colOff>
      <xdr:row>4</xdr:row>
      <xdr:rowOff>85725</xdr:rowOff>
    </xdr:to>
    <xdr:sp macro="[1]!updateUtility">
      <xdr:nvSpPr>
        <xdr:cNvPr id="6" name="Oval 18"/>
        <xdr:cNvSpPr>
          <a:spLocks/>
        </xdr:cNvSpPr>
      </xdr:nvSpPr>
      <xdr:spPr>
        <a:xfrm>
          <a:off x="10220325" y="514350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771900" y="933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295775" y="9334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7</xdr:col>
      <xdr:colOff>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3771900" y="933450"/>
          <a:ext cx="5238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>
          <a:off x="4295775" y="18764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6877050" y="933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7400925" y="9334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12</xdr:col>
      <xdr:colOff>0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>
          <a:off x="6877050" y="933450"/>
          <a:ext cx="5238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8" name="Line 8"/>
        <xdr:cNvSpPr>
          <a:spLocks/>
        </xdr:cNvSpPr>
      </xdr:nvSpPr>
      <xdr:spPr>
        <a:xfrm>
          <a:off x="7400925" y="18764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12</xdr:col>
      <xdr:colOff>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>
          <a:off x="6877050" y="933450"/>
          <a:ext cx="523875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>
          <a:off x="7400925" y="28194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12</xdr:col>
      <xdr:colOff>0</xdr:colOff>
      <xdr:row>24</xdr:row>
      <xdr:rowOff>0</xdr:rowOff>
    </xdr:to>
    <xdr:sp>
      <xdr:nvSpPr>
        <xdr:cNvPr id="11" name="Line 11"/>
        <xdr:cNvSpPr>
          <a:spLocks/>
        </xdr:cNvSpPr>
      </xdr:nvSpPr>
      <xdr:spPr>
        <a:xfrm>
          <a:off x="6877050" y="933450"/>
          <a:ext cx="523875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12" name="Line 12"/>
        <xdr:cNvSpPr>
          <a:spLocks/>
        </xdr:cNvSpPr>
      </xdr:nvSpPr>
      <xdr:spPr>
        <a:xfrm>
          <a:off x="7400925" y="37623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7</xdr:col>
      <xdr:colOff>0</xdr:colOff>
      <xdr:row>12</xdr:row>
      <xdr:rowOff>0</xdr:rowOff>
    </xdr:to>
    <xdr:sp>
      <xdr:nvSpPr>
        <xdr:cNvPr id="13" name="Line 13"/>
        <xdr:cNvSpPr>
          <a:spLocks/>
        </xdr:cNvSpPr>
      </xdr:nvSpPr>
      <xdr:spPr>
        <a:xfrm>
          <a:off x="3771900" y="933450"/>
          <a:ext cx="523875" cy="9429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4" name="Line 14"/>
        <xdr:cNvSpPr>
          <a:spLocks/>
        </xdr:cNvSpPr>
      </xdr:nvSpPr>
      <xdr:spPr>
        <a:xfrm>
          <a:off x="4295775" y="1876425"/>
          <a:ext cx="10477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0</xdr:rowOff>
    </xdr:from>
    <xdr:to>
      <xdr:col>1</xdr:col>
      <xdr:colOff>0</xdr:colOff>
      <xdr:row>3</xdr:row>
      <xdr:rowOff>85725</xdr:rowOff>
    </xdr:to>
    <xdr:sp macro="[3]!DAChangeNetwork">
      <xdr:nvSpPr>
        <xdr:cNvPr id="1" name="Oval 7"/>
        <xdr:cNvSpPr>
          <a:spLocks/>
        </xdr:cNvSpPr>
      </xdr:nvSpPr>
      <xdr:spPr>
        <a:xfrm>
          <a:off x="266700" y="3524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0</xdr:colOff>
      <xdr:row>5</xdr:row>
      <xdr:rowOff>85725</xdr:rowOff>
    </xdr:to>
    <xdr:sp macro="[3]!DAAddNode">
      <xdr:nvSpPr>
        <xdr:cNvPr id="2" name="Oval 8"/>
        <xdr:cNvSpPr>
          <a:spLocks/>
        </xdr:cNvSpPr>
      </xdr:nvSpPr>
      <xdr:spPr>
        <a:xfrm>
          <a:off x="266700" y="67627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6</xdr:row>
      <xdr:rowOff>0</xdr:rowOff>
    </xdr:from>
    <xdr:to>
      <xdr:col>1</xdr:col>
      <xdr:colOff>0</xdr:colOff>
      <xdr:row>7</xdr:row>
      <xdr:rowOff>85725</xdr:rowOff>
    </xdr:to>
    <xdr:sp macro="[3]!DASolveNetwork">
      <xdr:nvSpPr>
        <xdr:cNvPr id="3" name="Oval 9"/>
        <xdr:cNvSpPr>
          <a:spLocks/>
        </xdr:cNvSpPr>
      </xdr:nvSpPr>
      <xdr:spPr>
        <a:xfrm>
          <a:off x="266700" y="10001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0</xdr:colOff>
      <xdr:row>9</xdr:row>
      <xdr:rowOff>85725</xdr:rowOff>
    </xdr:to>
    <xdr:sp macro="[3]!DAGraphNetwork">
      <xdr:nvSpPr>
        <xdr:cNvPr id="4" name="Oval 10"/>
        <xdr:cNvSpPr>
          <a:spLocks/>
        </xdr:cNvSpPr>
      </xdr:nvSpPr>
      <xdr:spPr>
        <a:xfrm>
          <a:off x="266700" y="132397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10</xdr:row>
      <xdr:rowOff>0</xdr:rowOff>
    </xdr:from>
    <xdr:to>
      <xdr:col>1</xdr:col>
      <xdr:colOff>0</xdr:colOff>
      <xdr:row>11</xdr:row>
      <xdr:rowOff>85725</xdr:rowOff>
    </xdr:to>
    <xdr:sp macro="[3]!DASortNetwork">
      <xdr:nvSpPr>
        <xdr:cNvPr id="5" name="Oval 11"/>
        <xdr:cNvSpPr>
          <a:spLocks/>
        </xdr:cNvSpPr>
      </xdr:nvSpPr>
      <xdr:spPr>
        <a:xfrm>
          <a:off x="266700" y="16478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20</xdr:col>
      <xdr:colOff>266700</xdr:colOff>
      <xdr:row>3</xdr:row>
      <xdr:rowOff>0</xdr:rowOff>
    </xdr:from>
    <xdr:to>
      <xdr:col>21</xdr:col>
      <xdr:colOff>0</xdr:colOff>
      <xdr:row>4</xdr:row>
      <xdr:rowOff>85725</xdr:rowOff>
    </xdr:to>
    <xdr:sp macro="[3]!updateUtility">
      <xdr:nvSpPr>
        <xdr:cNvPr id="6" name="Oval 12"/>
        <xdr:cNvSpPr>
          <a:spLocks/>
        </xdr:cNvSpPr>
      </xdr:nvSpPr>
      <xdr:spPr>
        <a:xfrm>
          <a:off x="12658725" y="514350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" name="Line 136"/>
        <xdr:cNvSpPr>
          <a:spLocks/>
        </xdr:cNvSpPr>
      </xdr:nvSpPr>
      <xdr:spPr>
        <a:xfrm>
          <a:off x="3543300" y="933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" name="Line 137"/>
        <xdr:cNvSpPr>
          <a:spLocks/>
        </xdr:cNvSpPr>
      </xdr:nvSpPr>
      <xdr:spPr>
        <a:xfrm>
          <a:off x="4067175" y="933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7</xdr:col>
      <xdr:colOff>0</xdr:colOff>
      <xdr:row>12</xdr:row>
      <xdr:rowOff>0</xdr:rowOff>
    </xdr:to>
    <xdr:sp>
      <xdr:nvSpPr>
        <xdr:cNvPr id="3" name="Line 138"/>
        <xdr:cNvSpPr>
          <a:spLocks/>
        </xdr:cNvSpPr>
      </xdr:nvSpPr>
      <xdr:spPr>
        <a:xfrm>
          <a:off x="3543300" y="933450"/>
          <a:ext cx="5238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" name="Line 139"/>
        <xdr:cNvSpPr>
          <a:spLocks/>
        </xdr:cNvSpPr>
      </xdr:nvSpPr>
      <xdr:spPr>
        <a:xfrm>
          <a:off x="4067175" y="18954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5" name="Line 140"/>
        <xdr:cNvSpPr>
          <a:spLocks/>
        </xdr:cNvSpPr>
      </xdr:nvSpPr>
      <xdr:spPr>
        <a:xfrm>
          <a:off x="5514975" y="933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" name="Line 141"/>
        <xdr:cNvSpPr>
          <a:spLocks/>
        </xdr:cNvSpPr>
      </xdr:nvSpPr>
      <xdr:spPr>
        <a:xfrm>
          <a:off x="6038850" y="933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10</xdr:col>
      <xdr:colOff>0</xdr:colOff>
      <xdr:row>12</xdr:row>
      <xdr:rowOff>0</xdr:rowOff>
    </xdr:to>
    <xdr:sp>
      <xdr:nvSpPr>
        <xdr:cNvPr id="7" name="Line 142"/>
        <xdr:cNvSpPr>
          <a:spLocks/>
        </xdr:cNvSpPr>
      </xdr:nvSpPr>
      <xdr:spPr>
        <a:xfrm>
          <a:off x="5514975" y="933450"/>
          <a:ext cx="5238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8" name="Line 143"/>
        <xdr:cNvSpPr>
          <a:spLocks/>
        </xdr:cNvSpPr>
      </xdr:nvSpPr>
      <xdr:spPr>
        <a:xfrm>
          <a:off x="6038850" y="18954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18</xdr:row>
      <xdr:rowOff>0</xdr:rowOff>
    </xdr:to>
    <xdr:sp>
      <xdr:nvSpPr>
        <xdr:cNvPr id="9" name="Line 144"/>
        <xdr:cNvSpPr>
          <a:spLocks/>
        </xdr:cNvSpPr>
      </xdr:nvSpPr>
      <xdr:spPr>
        <a:xfrm>
          <a:off x="5514975" y="1895475"/>
          <a:ext cx="5238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>
      <xdr:nvSpPr>
        <xdr:cNvPr id="10" name="Line 145"/>
        <xdr:cNvSpPr>
          <a:spLocks/>
        </xdr:cNvSpPr>
      </xdr:nvSpPr>
      <xdr:spPr>
        <a:xfrm>
          <a:off x="6038850" y="2838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24</xdr:row>
      <xdr:rowOff>0</xdr:rowOff>
    </xdr:to>
    <xdr:sp>
      <xdr:nvSpPr>
        <xdr:cNvPr id="11" name="Line 146"/>
        <xdr:cNvSpPr>
          <a:spLocks/>
        </xdr:cNvSpPr>
      </xdr:nvSpPr>
      <xdr:spPr>
        <a:xfrm>
          <a:off x="5514975" y="1895475"/>
          <a:ext cx="523875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12" name="Line 147"/>
        <xdr:cNvSpPr>
          <a:spLocks/>
        </xdr:cNvSpPr>
      </xdr:nvSpPr>
      <xdr:spPr>
        <a:xfrm>
          <a:off x="6038850" y="37814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16</xdr:col>
      <xdr:colOff>0</xdr:colOff>
      <xdr:row>24</xdr:row>
      <xdr:rowOff>0</xdr:rowOff>
    </xdr:to>
    <xdr:sp>
      <xdr:nvSpPr>
        <xdr:cNvPr id="13" name="Line 148"/>
        <xdr:cNvSpPr>
          <a:spLocks/>
        </xdr:cNvSpPr>
      </xdr:nvSpPr>
      <xdr:spPr>
        <a:xfrm flipV="1">
          <a:off x="7591425" y="933450"/>
          <a:ext cx="2838450" cy="2847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4" name="Line 149"/>
        <xdr:cNvSpPr>
          <a:spLocks/>
        </xdr:cNvSpPr>
      </xdr:nvSpPr>
      <xdr:spPr>
        <a:xfrm>
          <a:off x="10429875" y="933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16</xdr:col>
      <xdr:colOff>0</xdr:colOff>
      <xdr:row>24</xdr:row>
      <xdr:rowOff>0</xdr:rowOff>
    </xdr:to>
    <xdr:sp>
      <xdr:nvSpPr>
        <xdr:cNvPr id="15" name="Line 150"/>
        <xdr:cNvSpPr>
          <a:spLocks/>
        </xdr:cNvSpPr>
      </xdr:nvSpPr>
      <xdr:spPr>
        <a:xfrm flipV="1">
          <a:off x="7591425" y="1895475"/>
          <a:ext cx="283845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6" name="Line 151"/>
        <xdr:cNvSpPr>
          <a:spLocks/>
        </xdr:cNvSpPr>
      </xdr:nvSpPr>
      <xdr:spPr>
        <a:xfrm>
          <a:off x="10429875" y="18954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16</xdr:col>
      <xdr:colOff>0</xdr:colOff>
      <xdr:row>24</xdr:row>
      <xdr:rowOff>0</xdr:rowOff>
    </xdr:to>
    <xdr:sp>
      <xdr:nvSpPr>
        <xdr:cNvPr id="17" name="Line 152"/>
        <xdr:cNvSpPr>
          <a:spLocks/>
        </xdr:cNvSpPr>
      </xdr:nvSpPr>
      <xdr:spPr>
        <a:xfrm flipV="1">
          <a:off x="7591425" y="2838450"/>
          <a:ext cx="28384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18" name="Line 153"/>
        <xdr:cNvSpPr>
          <a:spLocks/>
        </xdr:cNvSpPr>
      </xdr:nvSpPr>
      <xdr:spPr>
        <a:xfrm>
          <a:off x="10429875" y="2838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>
      <xdr:nvSpPr>
        <xdr:cNvPr id="19" name="Line 154"/>
        <xdr:cNvSpPr>
          <a:spLocks/>
        </xdr:cNvSpPr>
      </xdr:nvSpPr>
      <xdr:spPr>
        <a:xfrm>
          <a:off x="7591425" y="3781425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20" name="Line 155"/>
        <xdr:cNvSpPr>
          <a:spLocks/>
        </xdr:cNvSpPr>
      </xdr:nvSpPr>
      <xdr:spPr>
        <a:xfrm>
          <a:off x="10429875" y="37814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" name="Line 156"/>
        <xdr:cNvSpPr>
          <a:spLocks/>
        </xdr:cNvSpPr>
      </xdr:nvSpPr>
      <xdr:spPr>
        <a:xfrm>
          <a:off x="7591425" y="933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2" name="Line 157"/>
        <xdr:cNvSpPr>
          <a:spLocks/>
        </xdr:cNvSpPr>
      </xdr:nvSpPr>
      <xdr:spPr>
        <a:xfrm>
          <a:off x="8115300" y="933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0</xdr:colOff>
      <xdr:row>12</xdr:row>
      <xdr:rowOff>0</xdr:rowOff>
    </xdr:to>
    <xdr:sp>
      <xdr:nvSpPr>
        <xdr:cNvPr id="23" name="Line 158"/>
        <xdr:cNvSpPr>
          <a:spLocks/>
        </xdr:cNvSpPr>
      </xdr:nvSpPr>
      <xdr:spPr>
        <a:xfrm>
          <a:off x="7591425" y="933450"/>
          <a:ext cx="5238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4" name="Line 159"/>
        <xdr:cNvSpPr>
          <a:spLocks/>
        </xdr:cNvSpPr>
      </xdr:nvSpPr>
      <xdr:spPr>
        <a:xfrm>
          <a:off x="8115300" y="18954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18</xdr:row>
      <xdr:rowOff>0</xdr:rowOff>
    </xdr:to>
    <xdr:sp>
      <xdr:nvSpPr>
        <xdr:cNvPr id="25" name="Line 160"/>
        <xdr:cNvSpPr>
          <a:spLocks/>
        </xdr:cNvSpPr>
      </xdr:nvSpPr>
      <xdr:spPr>
        <a:xfrm>
          <a:off x="7591425" y="1895475"/>
          <a:ext cx="5238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6" name="Line 161"/>
        <xdr:cNvSpPr>
          <a:spLocks/>
        </xdr:cNvSpPr>
      </xdr:nvSpPr>
      <xdr:spPr>
        <a:xfrm>
          <a:off x="8115300" y="2838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24</xdr:row>
      <xdr:rowOff>0</xdr:rowOff>
    </xdr:to>
    <xdr:sp>
      <xdr:nvSpPr>
        <xdr:cNvPr id="27" name="Line 162"/>
        <xdr:cNvSpPr>
          <a:spLocks/>
        </xdr:cNvSpPr>
      </xdr:nvSpPr>
      <xdr:spPr>
        <a:xfrm>
          <a:off x="7591425" y="1895475"/>
          <a:ext cx="523875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28" name="Line 163"/>
        <xdr:cNvSpPr>
          <a:spLocks/>
        </xdr:cNvSpPr>
      </xdr:nvSpPr>
      <xdr:spPr>
        <a:xfrm>
          <a:off x="8115300" y="37814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12</xdr:row>
      <xdr:rowOff>0</xdr:rowOff>
    </xdr:to>
    <xdr:sp>
      <xdr:nvSpPr>
        <xdr:cNvPr id="29" name="Line 164"/>
        <xdr:cNvSpPr>
          <a:spLocks/>
        </xdr:cNvSpPr>
      </xdr:nvSpPr>
      <xdr:spPr>
        <a:xfrm flipV="1">
          <a:off x="9906000" y="933450"/>
          <a:ext cx="5238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30" name="Line 165"/>
        <xdr:cNvSpPr>
          <a:spLocks/>
        </xdr:cNvSpPr>
      </xdr:nvSpPr>
      <xdr:spPr>
        <a:xfrm>
          <a:off x="10429875" y="933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1" name="Line 166"/>
        <xdr:cNvSpPr>
          <a:spLocks/>
        </xdr:cNvSpPr>
      </xdr:nvSpPr>
      <xdr:spPr>
        <a:xfrm>
          <a:off x="9906000" y="18954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32" name="Line 167"/>
        <xdr:cNvSpPr>
          <a:spLocks/>
        </xdr:cNvSpPr>
      </xdr:nvSpPr>
      <xdr:spPr>
        <a:xfrm>
          <a:off x="10429875" y="18954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18</xdr:row>
      <xdr:rowOff>0</xdr:rowOff>
    </xdr:to>
    <xdr:sp>
      <xdr:nvSpPr>
        <xdr:cNvPr id="33" name="Line 168"/>
        <xdr:cNvSpPr>
          <a:spLocks/>
        </xdr:cNvSpPr>
      </xdr:nvSpPr>
      <xdr:spPr>
        <a:xfrm>
          <a:off x="9906000" y="1895475"/>
          <a:ext cx="5238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34" name="Line 169"/>
        <xdr:cNvSpPr>
          <a:spLocks/>
        </xdr:cNvSpPr>
      </xdr:nvSpPr>
      <xdr:spPr>
        <a:xfrm>
          <a:off x="10429875" y="2838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24</xdr:row>
      <xdr:rowOff>0</xdr:rowOff>
    </xdr:to>
    <xdr:sp>
      <xdr:nvSpPr>
        <xdr:cNvPr id="35" name="Line 170"/>
        <xdr:cNvSpPr>
          <a:spLocks/>
        </xdr:cNvSpPr>
      </xdr:nvSpPr>
      <xdr:spPr>
        <a:xfrm>
          <a:off x="9906000" y="1895475"/>
          <a:ext cx="523875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36" name="Line 171"/>
        <xdr:cNvSpPr>
          <a:spLocks/>
        </xdr:cNvSpPr>
      </xdr:nvSpPr>
      <xdr:spPr>
        <a:xfrm>
          <a:off x="10429875" y="37814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24</xdr:row>
      <xdr:rowOff>0</xdr:rowOff>
    </xdr:to>
    <xdr:sp>
      <xdr:nvSpPr>
        <xdr:cNvPr id="37" name="Line 172"/>
        <xdr:cNvSpPr>
          <a:spLocks/>
        </xdr:cNvSpPr>
      </xdr:nvSpPr>
      <xdr:spPr>
        <a:xfrm flipV="1">
          <a:off x="9906000" y="933450"/>
          <a:ext cx="523875" cy="2847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38" name="Line 173"/>
        <xdr:cNvSpPr>
          <a:spLocks/>
        </xdr:cNvSpPr>
      </xdr:nvSpPr>
      <xdr:spPr>
        <a:xfrm>
          <a:off x="10429875" y="933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24</xdr:row>
      <xdr:rowOff>0</xdr:rowOff>
    </xdr:to>
    <xdr:sp>
      <xdr:nvSpPr>
        <xdr:cNvPr id="39" name="Line 174"/>
        <xdr:cNvSpPr>
          <a:spLocks/>
        </xdr:cNvSpPr>
      </xdr:nvSpPr>
      <xdr:spPr>
        <a:xfrm flipV="1">
          <a:off x="9906000" y="1895475"/>
          <a:ext cx="523875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40" name="Line 175"/>
        <xdr:cNvSpPr>
          <a:spLocks/>
        </xdr:cNvSpPr>
      </xdr:nvSpPr>
      <xdr:spPr>
        <a:xfrm>
          <a:off x="10429875" y="18954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16</xdr:col>
      <xdr:colOff>0</xdr:colOff>
      <xdr:row>24</xdr:row>
      <xdr:rowOff>0</xdr:rowOff>
    </xdr:to>
    <xdr:sp>
      <xdr:nvSpPr>
        <xdr:cNvPr id="41" name="Line 176"/>
        <xdr:cNvSpPr>
          <a:spLocks/>
        </xdr:cNvSpPr>
      </xdr:nvSpPr>
      <xdr:spPr>
        <a:xfrm flipV="1">
          <a:off x="9906000" y="2838450"/>
          <a:ext cx="5238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42" name="Line 177"/>
        <xdr:cNvSpPr>
          <a:spLocks/>
        </xdr:cNvSpPr>
      </xdr:nvSpPr>
      <xdr:spPr>
        <a:xfrm>
          <a:off x="10429875" y="2838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>
      <xdr:nvSpPr>
        <xdr:cNvPr id="43" name="Line 178"/>
        <xdr:cNvSpPr>
          <a:spLocks/>
        </xdr:cNvSpPr>
      </xdr:nvSpPr>
      <xdr:spPr>
        <a:xfrm>
          <a:off x="9906000" y="37814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44" name="Line 179"/>
        <xdr:cNvSpPr>
          <a:spLocks/>
        </xdr:cNvSpPr>
      </xdr:nvSpPr>
      <xdr:spPr>
        <a:xfrm>
          <a:off x="10429875" y="37814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45" name="Line 180"/>
        <xdr:cNvSpPr>
          <a:spLocks/>
        </xdr:cNvSpPr>
      </xdr:nvSpPr>
      <xdr:spPr>
        <a:xfrm>
          <a:off x="3543300" y="933450"/>
          <a:ext cx="5238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46" name="Line 181"/>
        <xdr:cNvSpPr>
          <a:spLocks/>
        </xdr:cNvSpPr>
      </xdr:nvSpPr>
      <xdr:spPr>
        <a:xfrm>
          <a:off x="4067175" y="933450"/>
          <a:ext cx="5238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24</xdr:row>
      <xdr:rowOff>0</xdr:rowOff>
    </xdr:to>
    <xdr:sp>
      <xdr:nvSpPr>
        <xdr:cNvPr id="47" name="Line 182"/>
        <xdr:cNvSpPr>
          <a:spLocks/>
        </xdr:cNvSpPr>
      </xdr:nvSpPr>
      <xdr:spPr>
        <a:xfrm>
          <a:off x="5514975" y="1895475"/>
          <a:ext cx="523875" cy="18859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48" name="Line 183"/>
        <xdr:cNvSpPr>
          <a:spLocks/>
        </xdr:cNvSpPr>
      </xdr:nvSpPr>
      <xdr:spPr>
        <a:xfrm>
          <a:off x="6038850" y="3781425"/>
          <a:ext cx="5238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0</xdr:colOff>
      <xdr:row>12</xdr:row>
      <xdr:rowOff>0</xdr:rowOff>
    </xdr:to>
    <xdr:sp>
      <xdr:nvSpPr>
        <xdr:cNvPr id="49" name="Line 184"/>
        <xdr:cNvSpPr>
          <a:spLocks/>
        </xdr:cNvSpPr>
      </xdr:nvSpPr>
      <xdr:spPr>
        <a:xfrm>
          <a:off x="7591425" y="933450"/>
          <a:ext cx="523875" cy="9620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50" name="Line 185"/>
        <xdr:cNvSpPr>
          <a:spLocks/>
        </xdr:cNvSpPr>
      </xdr:nvSpPr>
      <xdr:spPr>
        <a:xfrm>
          <a:off x="8115300" y="1895475"/>
          <a:ext cx="5238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18</xdr:row>
      <xdr:rowOff>0</xdr:rowOff>
    </xdr:to>
    <xdr:sp>
      <xdr:nvSpPr>
        <xdr:cNvPr id="51" name="Line 186"/>
        <xdr:cNvSpPr>
          <a:spLocks/>
        </xdr:cNvSpPr>
      </xdr:nvSpPr>
      <xdr:spPr>
        <a:xfrm>
          <a:off x="7591425" y="1895475"/>
          <a:ext cx="523875" cy="9429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52" name="Line 187"/>
        <xdr:cNvSpPr>
          <a:spLocks/>
        </xdr:cNvSpPr>
      </xdr:nvSpPr>
      <xdr:spPr>
        <a:xfrm>
          <a:off x="8115300" y="2838450"/>
          <a:ext cx="5238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0</xdr:rowOff>
    </xdr:from>
    <xdr:to>
      <xdr:col>1</xdr:col>
      <xdr:colOff>0</xdr:colOff>
      <xdr:row>3</xdr:row>
      <xdr:rowOff>85725</xdr:rowOff>
    </xdr:to>
    <xdr:sp macro="[3]!DAChangeNetwork">
      <xdr:nvSpPr>
        <xdr:cNvPr id="1" name="Oval 7"/>
        <xdr:cNvSpPr>
          <a:spLocks/>
        </xdr:cNvSpPr>
      </xdr:nvSpPr>
      <xdr:spPr>
        <a:xfrm>
          <a:off x="266700" y="3524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0</xdr:colOff>
      <xdr:row>5</xdr:row>
      <xdr:rowOff>85725</xdr:rowOff>
    </xdr:to>
    <xdr:sp macro="[3]!DAAddNode">
      <xdr:nvSpPr>
        <xdr:cNvPr id="2" name="Oval 8"/>
        <xdr:cNvSpPr>
          <a:spLocks/>
        </xdr:cNvSpPr>
      </xdr:nvSpPr>
      <xdr:spPr>
        <a:xfrm>
          <a:off x="266700" y="67627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6</xdr:row>
      <xdr:rowOff>0</xdr:rowOff>
    </xdr:from>
    <xdr:to>
      <xdr:col>1</xdr:col>
      <xdr:colOff>0</xdr:colOff>
      <xdr:row>7</xdr:row>
      <xdr:rowOff>85725</xdr:rowOff>
    </xdr:to>
    <xdr:sp macro="[3]!DASolveNetwork">
      <xdr:nvSpPr>
        <xdr:cNvPr id="3" name="Oval 9"/>
        <xdr:cNvSpPr>
          <a:spLocks/>
        </xdr:cNvSpPr>
      </xdr:nvSpPr>
      <xdr:spPr>
        <a:xfrm>
          <a:off x="266700" y="10001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0</xdr:colOff>
      <xdr:row>9</xdr:row>
      <xdr:rowOff>85725</xdr:rowOff>
    </xdr:to>
    <xdr:sp macro="[3]!DAGraphNetwork">
      <xdr:nvSpPr>
        <xdr:cNvPr id="4" name="Oval 10"/>
        <xdr:cNvSpPr>
          <a:spLocks/>
        </xdr:cNvSpPr>
      </xdr:nvSpPr>
      <xdr:spPr>
        <a:xfrm>
          <a:off x="266700" y="132397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10</xdr:row>
      <xdr:rowOff>0</xdr:rowOff>
    </xdr:from>
    <xdr:to>
      <xdr:col>1</xdr:col>
      <xdr:colOff>0</xdr:colOff>
      <xdr:row>11</xdr:row>
      <xdr:rowOff>85725</xdr:rowOff>
    </xdr:to>
    <xdr:sp macro="[3]!DASortNetwork">
      <xdr:nvSpPr>
        <xdr:cNvPr id="5" name="Oval 11"/>
        <xdr:cNvSpPr>
          <a:spLocks/>
        </xdr:cNvSpPr>
      </xdr:nvSpPr>
      <xdr:spPr>
        <a:xfrm>
          <a:off x="266700" y="16478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266700</xdr:colOff>
      <xdr:row>3</xdr:row>
      <xdr:rowOff>0</xdr:rowOff>
    </xdr:from>
    <xdr:to>
      <xdr:col>20</xdr:col>
      <xdr:colOff>0</xdr:colOff>
      <xdr:row>4</xdr:row>
      <xdr:rowOff>85725</xdr:rowOff>
    </xdr:to>
    <xdr:sp macro="[3]!updateUtility">
      <xdr:nvSpPr>
        <xdr:cNvPr id="6" name="Oval 12"/>
        <xdr:cNvSpPr>
          <a:spLocks/>
        </xdr:cNvSpPr>
      </xdr:nvSpPr>
      <xdr:spPr>
        <a:xfrm>
          <a:off x="12639675" y="514350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" name="Line 940"/>
        <xdr:cNvSpPr>
          <a:spLocks/>
        </xdr:cNvSpPr>
      </xdr:nvSpPr>
      <xdr:spPr>
        <a:xfrm>
          <a:off x="3695700" y="9429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" name="Line 941"/>
        <xdr:cNvSpPr>
          <a:spLocks/>
        </xdr:cNvSpPr>
      </xdr:nvSpPr>
      <xdr:spPr>
        <a:xfrm>
          <a:off x="4219575" y="9429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3" name="Line 942"/>
        <xdr:cNvSpPr>
          <a:spLocks/>
        </xdr:cNvSpPr>
      </xdr:nvSpPr>
      <xdr:spPr>
        <a:xfrm>
          <a:off x="5886450" y="9429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4" name="Line 943"/>
        <xdr:cNvSpPr>
          <a:spLocks/>
        </xdr:cNvSpPr>
      </xdr:nvSpPr>
      <xdr:spPr>
        <a:xfrm>
          <a:off x="6410325" y="9429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10</xdr:col>
      <xdr:colOff>0</xdr:colOff>
      <xdr:row>12</xdr:row>
      <xdr:rowOff>0</xdr:rowOff>
    </xdr:to>
    <xdr:sp>
      <xdr:nvSpPr>
        <xdr:cNvPr id="5" name="Line 944"/>
        <xdr:cNvSpPr>
          <a:spLocks/>
        </xdr:cNvSpPr>
      </xdr:nvSpPr>
      <xdr:spPr>
        <a:xfrm>
          <a:off x="5886450" y="942975"/>
          <a:ext cx="5238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6" name="Line 945"/>
        <xdr:cNvSpPr>
          <a:spLocks/>
        </xdr:cNvSpPr>
      </xdr:nvSpPr>
      <xdr:spPr>
        <a:xfrm>
          <a:off x="6410325" y="19050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7</xdr:col>
      <xdr:colOff>0</xdr:colOff>
      <xdr:row>12</xdr:row>
      <xdr:rowOff>0</xdr:rowOff>
    </xdr:to>
    <xdr:sp>
      <xdr:nvSpPr>
        <xdr:cNvPr id="7" name="Line 946"/>
        <xdr:cNvSpPr>
          <a:spLocks/>
        </xdr:cNvSpPr>
      </xdr:nvSpPr>
      <xdr:spPr>
        <a:xfrm>
          <a:off x="3695700" y="942975"/>
          <a:ext cx="5238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8" name="Line 947"/>
        <xdr:cNvSpPr>
          <a:spLocks/>
        </xdr:cNvSpPr>
      </xdr:nvSpPr>
      <xdr:spPr>
        <a:xfrm>
          <a:off x="4219575" y="19050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" name="Line 948"/>
        <xdr:cNvSpPr>
          <a:spLocks/>
        </xdr:cNvSpPr>
      </xdr:nvSpPr>
      <xdr:spPr>
        <a:xfrm>
          <a:off x="8296275" y="9429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0" name="Line 949"/>
        <xdr:cNvSpPr>
          <a:spLocks/>
        </xdr:cNvSpPr>
      </xdr:nvSpPr>
      <xdr:spPr>
        <a:xfrm>
          <a:off x="8820150" y="9429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0</xdr:colOff>
      <xdr:row>12</xdr:row>
      <xdr:rowOff>0</xdr:rowOff>
    </xdr:to>
    <xdr:sp>
      <xdr:nvSpPr>
        <xdr:cNvPr id="11" name="Line 950"/>
        <xdr:cNvSpPr>
          <a:spLocks/>
        </xdr:cNvSpPr>
      </xdr:nvSpPr>
      <xdr:spPr>
        <a:xfrm>
          <a:off x="8296275" y="942975"/>
          <a:ext cx="5238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2" name="Line 951"/>
        <xdr:cNvSpPr>
          <a:spLocks/>
        </xdr:cNvSpPr>
      </xdr:nvSpPr>
      <xdr:spPr>
        <a:xfrm>
          <a:off x="8820150" y="19050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12</xdr:row>
      <xdr:rowOff>0</xdr:rowOff>
    </xdr:to>
    <xdr:sp>
      <xdr:nvSpPr>
        <xdr:cNvPr id="13" name="Line 952"/>
        <xdr:cNvSpPr>
          <a:spLocks/>
        </xdr:cNvSpPr>
      </xdr:nvSpPr>
      <xdr:spPr>
        <a:xfrm flipV="1">
          <a:off x="10706100" y="942975"/>
          <a:ext cx="5238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4" name="Line 953"/>
        <xdr:cNvSpPr>
          <a:spLocks/>
        </xdr:cNvSpPr>
      </xdr:nvSpPr>
      <xdr:spPr>
        <a:xfrm>
          <a:off x="11229975" y="9429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5" name="Line 954"/>
        <xdr:cNvSpPr>
          <a:spLocks/>
        </xdr:cNvSpPr>
      </xdr:nvSpPr>
      <xdr:spPr>
        <a:xfrm>
          <a:off x="10706100" y="19050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6" name="Line 955"/>
        <xdr:cNvSpPr>
          <a:spLocks/>
        </xdr:cNvSpPr>
      </xdr:nvSpPr>
      <xdr:spPr>
        <a:xfrm>
          <a:off x="11229975" y="19050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18</xdr:row>
      <xdr:rowOff>0</xdr:rowOff>
    </xdr:to>
    <xdr:sp>
      <xdr:nvSpPr>
        <xdr:cNvPr id="17" name="Line 956"/>
        <xdr:cNvSpPr>
          <a:spLocks/>
        </xdr:cNvSpPr>
      </xdr:nvSpPr>
      <xdr:spPr>
        <a:xfrm>
          <a:off x="8296275" y="1905000"/>
          <a:ext cx="5238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8" name="Line 957"/>
        <xdr:cNvSpPr>
          <a:spLocks/>
        </xdr:cNvSpPr>
      </xdr:nvSpPr>
      <xdr:spPr>
        <a:xfrm>
          <a:off x="8820150" y="28479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24</xdr:row>
      <xdr:rowOff>0</xdr:rowOff>
    </xdr:to>
    <xdr:sp>
      <xdr:nvSpPr>
        <xdr:cNvPr id="19" name="Line 958"/>
        <xdr:cNvSpPr>
          <a:spLocks/>
        </xdr:cNvSpPr>
      </xdr:nvSpPr>
      <xdr:spPr>
        <a:xfrm>
          <a:off x="8296275" y="1905000"/>
          <a:ext cx="523875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20" name="Line 959"/>
        <xdr:cNvSpPr>
          <a:spLocks/>
        </xdr:cNvSpPr>
      </xdr:nvSpPr>
      <xdr:spPr>
        <a:xfrm>
          <a:off x="8820150" y="37909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16</xdr:col>
      <xdr:colOff>0</xdr:colOff>
      <xdr:row>24</xdr:row>
      <xdr:rowOff>0</xdr:rowOff>
    </xdr:to>
    <xdr:sp>
      <xdr:nvSpPr>
        <xdr:cNvPr id="21" name="Line 960"/>
        <xdr:cNvSpPr>
          <a:spLocks/>
        </xdr:cNvSpPr>
      </xdr:nvSpPr>
      <xdr:spPr>
        <a:xfrm flipV="1">
          <a:off x="10706100" y="2847975"/>
          <a:ext cx="5238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22" name="Line 961"/>
        <xdr:cNvSpPr>
          <a:spLocks/>
        </xdr:cNvSpPr>
      </xdr:nvSpPr>
      <xdr:spPr>
        <a:xfrm>
          <a:off x="11229975" y="28479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>
      <xdr:nvSpPr>
        <xdr:cNvPr id="23" name="Line 962"/>
        <xdr:cNvSpPr>
          <a:spLocks/>
        </xdr:cNvSpPr>
      </xdr:nvSpPr>
      <xdr:spPr>
        <a:xfrm>
          <a:off x="10706100" y="37909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24" name="Line 963"/>
        <xdr:cNvSpPr>
          <a:spLocks/>
        </xdr:cNvSpPr>
      </xdr:nvSpPr>
      <xdr:spPr>
        <a:xfrm>
          <a:off x="11229975" y="37909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18</xdr:row>
      <xdr:rowOff>0</xdr:rowOff>
    </xdr:to>
    <xdr:sp>
      <xdr:nvSpPr>
        <xdr:cNvPr id="25" name="Line 964"/>
        <xdr:cNvSpPr>
          <a:spLocks/>
        </xdr:cNvSpPr>
      </xdr:nvSpPr>
      <xdr:spPr>
        <a:xfrm>
          <a:off x="5886450" y="1905000"/>
          <a:ext cx="5238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>
      <xdr:nvSpPr>
        <xdr:cNvPr id="26" name="Line 965"/>
        <xdr:cNvSpPr>
          <a:spLocks/>
        </xdr:cNvSpPr>
      </xdr:nvSpPr>
      <xdr:spPr>
        <a:xfrm>
          <a:off x="6410325" y="28479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24</xdr:row>
      <xdr:rowOff>0</xdr:rowOff>
    </xdr:to>
    <xdr:sp>
      <xdr:nvSpPr>
        <xdr:cNvPr id="27" name="Line 966"/>
        <xdr:cNvSpPr>
          <a:spLocks/>
        </xdr:cNvSpPr>
      </xdr:nvSpPr>
      <xdr:spPr>
        <a:xfrm>
          <a:off x="5886450" y="1905000"/>
          <a:ext cx="523875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8" name="Line 967"/>
        <xdr:cNvSpPr>
          <a:spLocks/>
        </xdr:cNvSpPr>
      </xdr:nvSpPr>
      <xdr:spPr>
        <a:xfrm>
          <a:off x="6410325" y="37909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30</xdr:row>
      <xdr:rowOff>0</xdr:rowOff>
    </xdr:to>
    <xdr:sp>
      <xdr:nvSpPr>
        <xdr:cNvPr id="29" name="Line 968"/>
        <xdr:cNvSpPr>
          <a:spLocks/>
        </xdr:cNvSpPr>
      </xdr:nvSpPr>
      <xdr:spPr>
        <a:xfrm>
          <a:off x="8296275" y="2847975"/>
          <a:ext cx="523875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>
      <xdr:nvSpPr>
        <xdr:cNvPr id="30" name="Line 969"/>
        <xdr:cNvSpPr>
          <a:spLocks/>
        </xdr:cNvSpPr>
      </xdr:nvSpPr>
      <xdr:spPr>
        <a:xfrm>
          <a:off x="8820150" y="47339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36</xdr:row>
      <xdr:rowOff>0</xdr:rowOff>
    </xdr:to>
    <xdr:sp>
      <xdr:nvSpPr>
        <xdr:cNvPr id="31" name="Line 970"/>
        <xdr:cNvSpPr>
          <a:spLocks/>
        </xdr:cNvSpPr>
      </xdr:nvSpPr>
      <xdr:spPr>
        <a:xfrm>
          <a:off x="8296275" y="2847975"/>
          <a:ext cx="523875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0</xdr:colOff>
      <xdr:row>36</xdr:row>
      <xdr:rowOff>0</xdr:rowOff>
    </xdr:from>
    <xdr:to>
      <xdr:col>14</xdr:col>
      <xdr:colOff>0</xdr:colOff>
      <xdr:row>36</xdr:row>
      <xdr:rowOff>0</xdr:rowOff>
    </xdr:to>
    <xdr:sp>
      <xdr:nvSpPr>
        <xdr:cNvPr id="32" name="Line 971"/>
        <xdr:cNvSpPr>
          <a:spLocks/>
        </xdr:cNvSpPr>
      </xdr:nvSpPr>
      <xdr:spPr>
        <a:xfrm>
          <a:off x="8820150" y="56769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3" name="Line 972"/>
        <xdr:cNvSpPr>
          <a:spLocks/>
        </xdr:cNvSpPr>
      </xdr:nvSpPr>
      <xdr:spPr>
        <a:xfrm>
          <a:off x="3695700" y="942975"/>
          <a:ext cx="5238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34" name="Line 973"/>
        <xdr:cNvSpPr>
          <a:spLocks/>
        </xdr:cNvSpPr>
      </xdr:nvSpPr>
      <xdr:spPr>
        <a:xfrm>
          <a:off x="4219575" y="942975"/>
          <a:ext cx="5238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0</xdr:colOff>
      <xdr:row>12</xdr:row>
      <xdr:rowOff>0</xdr:rowOff>
    </xdr:to>
    <xdr:sp>
      <xdr:nvSpPr>
        <xdr:cNvPr id="35" name="Line 974"/>
        <xdr:cNvSpPr>
          <a:spLocks/>
        </xdr:cNvSpPr>
      </xdr:nvSpPr>
      <xdr:spPr>
        <a:xfrm>
          <a:off x="8296275" y="942975"/>
          <a:ext cx="523875" cy="9620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36" name="Line 975"/>
        <xdr:cNvSpPr>
          <a:spLocks/>
        </xdr:cNvSpPr>
      </xdr:nvSpPr>
      <xdr:spPr>
        <a:xfrm>
          <a:off x="8820150" y="1905000"/>
          <a:ext cx="5238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18</xdr:row>
      <xdr:rowOff>0</xdr:rowOff>
    </xdr:to>
    <xdr:sp>
      <xdr:nvSpPr>
        <xdr:cNvPr id="37" name="Line 976"/>
        <xdr:cNvSpPr>
          <a:spLocks/>
        </xdr:cNvSpPr>
      </xdr:nvSpPr>
      <xdr:spPr>
        <a:xfrm>
          <a:off x="8296275" y="1905000"/>
          <a:ext cx="523875" cy="9429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38" name="Line 977"/>
        <xdr:cNvSpPr>
          <a:spLocks/>
        </xdr:cNvSpPr>
      </xdr:nvSpPr>
      <xdr:spPr>
        <a:xfrm>
          <a:off x="8820150" y="2847975"/>
          <a:ext cx="5238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18</xdr:row>
      <xdr:rowOff>0</xdr:rowOff>
    </xdr:to>
    <xdr:sp>
      <xdr:nvSpPr>
        <xdr:cNvPr id="39" name="Line 978"/>
        <xdr:cNvSpPr>
          <a:spLocks/>
        </xdr:cNvSpPr>
      </xdr:nvSpPr>
      <xdr:spPr>
        <a:xfrm>
          <a:off x="5886450" y="1905000"/>
          <a:ext cx="523875" cy="9429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>
      <xdr:nvSpPr>
        <xdr:cNvPr id="40" name="Line 979"/>
        <xdr:cNvSpPr>
          <a:spLocks/>
        </xdr:cNvSpPr>
      </xdr:nvSpPr>
      <xdr:spPr>
        <a:xfrm>
          <a:off x="6410325" y="2847975"/>
          <a:ext cx="5238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0</xdr:colOff>
      <xdr:row>3</xdr:row>
      <xdr:rowOff>85725</xdr:rowOff>
    </xdr:to>
    <xdr:sp macro="[3]!DAAddNode">
      <xdr:nvSpPr>
        <xdr:cNvPr id="41" name="Oval 981"/>
        <xdr:cNvSpPr>
          <a:spLocks/>
        </xdr:cNvSpPr>
      </xdr:nvSpPr>
      <xdr:spPr>
        <a:xfrm>
          <a:off x="419100" y="3143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ensen.lib\decision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R_models_methods\ch_xls\Ch10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ations\Microsoft%20Office%20X\Office\Add-Ins\jensen.lib\decisio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DAAddNode"/>
      <definedName name="DAChangeNetwork"/>
      <definedName name="DAGraphNetwork"/>
      <definedName name="DASolveNetwork"/>
      <definedName name="DASortNetwork"/>
      <definedName name="MatchIF"/>
      <definedName name="MaxIF"/>
      <definedName name="MinIF"/>
      <definedName name="updateUtility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Euclidean"/>
      <sheetName val="Euclidean2"/>
      <sheetName val="Box"/>
      <sheetName val="Queue"/>
      <sheetName val="Regression"/>
      <sheetName val="NLRegression"/>
      <sheetName val="Electric"/>
    </sheetNames>
    <sheetDataSet>
      <sheetData sheetId="1">
        <row r="3">
          <cell r="A3" t="str">
            <v>xd</v>
          </cell>
          <cell r="B3" t="str">
            <v>Values</v>
          </cell>
        </row>
        <row r="4">
          <cell r="A4" t="str">
            <v>x</v>
          </cell>
          <cell r="B4">
            <v>1</v>
          </cell>
        </row>
        <row r="5">
          <cell r="A5" t="str">
            <v>y</v>
          </cell>
          <cell r="B5">
            <v>1</v>
          </cell>
        </row>
        <row r="7">
          <cell r="E7" t="str">
            <v>Dist(xd)</v>
          </cell>
          <cell r="F7" t="str">
            <v>xd</v>
          </cell>
        </row>
        <row r="8">
          <cell r="E8">
            <v>7.60555127546399</v>
          </cell>
        </row>
      </sheetData>
      <sheetData sheetId="2">
        <row r="2">
          <cell r="A2" t="str">
            <v>xd2</v>
          </cell>
          <cell r="B2" t="str">
            <v>Values</v>
          </cell>
        </row>
        <row r="3">
          <cell r="A3" t="str">
            <v>x</v>
          </cell>
          <cell r="B3">
            <v>2.000720957780194</v>
          </cell>
        </row>
        <row r="4">
          <cell r="A4" t="str">
            <v>y</v>
          </cell>
          <cell r="B4">
            <v>1.7970835138180177</v>
          </cell>
        </row>
        <row r="6">
          <cell r="E6" t="str">
            <v>Dist2(xd2)</v>
          </cell>
          <cell r="F6" t="str">
            <v>xd2</v>
          </cell>
        </row>
        <row r="7">
          <cell r="E7">
            <v>4.385761061424747</v>
          </cell>
        </row>
      </sheetData>
      <sheetData sheetId="3">
        <row r="2">
          <cell r="A2" t="str">
            <v>Box</v>
          </cell>
          <cell r="B2" t="str">
            <v>Values</v>
          </cell>
        </row>
        <row r="3">
          <cell r="A3" t="str">
            <v>x</v>
          </cell>
          <cell r="B3">
            <v>7.936998070549803</v>
          </cell>
        </row>
        <row r="4">
          <cell r="A4" t="str">
            <v>y</v>
          </cell>
          <cell r="B4">
            <v>7.937020880197948</v>
          </cell>
        </row>
        <row r="5">
          <cell r="A5" t="str">
            <v>z</v>
          </cell>
          <cell r="B5">
            <v>15.873993643953547</v>
          </cell>
        </row>
        <row r="9">
          <cell r="A9" t="str">
            <v>Box2</v>
          </cell>
          <cell r="B9" t="str">
            <v>Values</v>
          </cell>
        </row>
        <row r="10">
          <cell r="A10" t="str">
            <v>x</v>
          </cell>
          <cell r="B10">
            <v>9.999996342185892</v>
          </cell>
        </row>
        <row r="11">
          <cell r="A11" t="str">
            <v>y</v>
          </cell>
          <cell r="B11">
            <v>10.000001616758857</v>
          </cell>
          <cell r="D11" t="str">
            <v>Area2(Box2)</v>
          </cell>
          <cell r="E11" t="str">
            <v>Box2</v>
          </cell>
        </row>
        <row r="12">
          <cell r="D12">
            <v>600.0000000000202</v>
          </cell>
        </row>
      </sheetData>
      <sheetData sheetId="4">
        <row r="1">
          <cell r="E1" t="str">
            <v>Queue</v>
          </cell>
        </row>
        <row r="2">
          <cell r="A2">
            <v>7.656559706038114</v>
          </cell>
          <cell r="E2" t="str">
            <v>Net</v>
          </cell>
          <cell r="H2" t="str">
            <v>Min</v>
          </cell>
          <cell r="K2" t="str">
            <v>Excel Solver</v>
          </cell>
        </row>
        <row r="3">
          <cell r="A3">
            <v>7</v>
          </cell>
          <cell r="E3">
            <v>7</v>
          </cell>
          <cell r="H3">
            <v>0</v>
          </cell>
          <cell r="K3" t="str">
            <v>Nonlinear</v>
          </cell>
        </row>
        <row r="4">
          <cell r="A4" t="b">
            <v>0</v>
          </cell>
          <cell r="E4">
            <v>4</v>
          </cell>
          <cell r="H4">
            <v>7.656559706038114</v>
          </cell>
        </row>
        <row r="5">
          <cell r="A5" t="b">
            <v>1</v>
          </cell>
          <cell r="E5">
            <v>0</v>
          </cell>
          <cell r="H5">
            <v>7.656559706038114</v>
          </cell>
        </row>
        <row r="6">
          <cell r="A6" t="b">
            <v>1</v>
          </cell>
        </row>
        <row r="7">
          <cell r="A7">
            <v>100</v>
          </cell>
          <cell r="B7" t="str">
            <v>Num.</v>
          </cell>
          <cell r="C7" t="str">
            <v>Name</v>
          </cell>
          <cell r="D7" t="str">
            <v>Flow</v>
          </cell>
          <cell r="E7" t="str">
            <v>Origin</v>
          </cell>
          <cell r="F7" t="str">
            <v>Term.</v>
          </cell>
          <cell r="G7" t="str">
            <v>Lower</v>
          </cell>
          <cell r="H7" t="str">
            <v>Upper</v>
          </cell>
          <cell r="I7" t="str">
            <v>Cost</v>
          </cell>
          <cell r="J7" t="str">
            <v>Gain</v>
          </cell>
          <cell r="K7" t="str">
            <v>NL Coef.</v>
          </cell>
          <cell r="L7" t="str">
            <v>NL Terms</v>
          </cell>
          <cell r="M7" t="str">
            <v>Flow_O</v>
          </cell>
          <cell r="O7" t="str">
            <v>Num.</v>
          </cell>
          <cell r="P7" t="str">
            <v>Name</v>
          </cell>
          <cell r="Q7" t="str">
            <v>Fixed</v>
          </cell>
          <cell r="R7" t="str">
            <v>Balance</v>
          </cell>
        </row>
        <row r="8">
          <cell r="B8">
            <v>1</v>
          </cell>
          <cell r="C8" t="str">
            <v>St_A</v>
          </cell>
          <cell r="D8">
            <v>1.5</v>
          </cell>
          <cell r="E8">
            <v>0</v>
          </cell>
          <cell r="F8">
            <v>1</v>
          </cell>
          <cell r="G8">
            <v>1.5</v>
          </cell>
          <cell r="H8">
            <v>1.5</v>
          </cell>
          <cell r="I8">
            <v>0</v>
          </cell>
          <cell r="J8">
            <v>1</v>
          </cell>
          <cell r="K8">
            <v>1</v>
          </cell>
          <cell r="L8">
            <v>3</v>
          </cell>
          <cell r="M8">
            <v>1.5</v>
          </cell>
          <cell r="O8">
            <v>1</v>
          </cell>
          <cell r="P8">
            <v>1</v>
          </cell>
          <cell r="Q8">
            <v>0</v>
          </cell>
          <cell r="R8">
            <v>-2.220446049250313E-16</v>
          </cell>
        </row>
        <row r="9">
          <cell r="B9">
            <v>2</v>
          </cell>
          <cell r="C9" t="str">
            <v>St_B</v>
          </cell>
          <cell r="D9">
            <v>1.07321368034892</v>
          </cell>
          <cell r="E9">
            <v>1</v>
          </cell>
          <cell r="F9">
            <v>2</v>
          </cell>
          <cell r="G9">
            <v>0</v>
          </cell>
          <cell r="H9">
            <v>10000000000</v>
          </cell>
          <cell r="I9">
            <v>0</v>
          </cell>
          <cell r="J9">
            <v>1</v>
          </cell>
          <cell r="K9">
            <v>1</v>
          </cell>
          <cell r="L9">
            <v>0.556996730464262</v>
          </cell>
          <cell r="M9">
            <v>1.07321368034892</v>
          </cell>
          <cell r="O9">
            <v>2</v>
          </cell>
          <cell r="P9">
            <v>2</v>
          </cell>
          <cell r="Q9">
            <v>0</v>
          </cell>
          <cell r="R9">
            <v>0</v>
          </cell>
        </row>
        <row r="10">
          <cell r="B10">
            <v>3</v>
          </cell>
          <cell r="C10" t="str">
            <v>St_C</v>
          </cell>
          <cell r="D10">
            <v>0.42678631965107977</v>
          </cell>
          <cell r="E10">
            <v>1</v>
          </cell>
          <cell r="F10">
            <v>3</v>
          </cell>
          <cell r="G10">
            <v>0</v>
          </cell>
          <cell r="H10">
            <v>10000000000</v>
          </cell>
          <cell r="I10">
            <v>0</v>
          </cell>
          <cell r="J10">
            <v>1</v>
          </cell>
          <cell r="K10">
            <v>1</v>
          </cell>
          <cell r="L10">
            <v>0.2712831225548608</v>
          </cell>
          <cell r="M10">
            <v>0.42678631965107977</v>
          </cell>
          <cell r="O10">
            <v>3</v>
          </cell>
          <cell r="P10">
            <v>3</v>
          </cell>
          <cell r="Q10">
            <v>0</v>
          </cell>
          <cell r="R10">
            <v>0</v>
          </cell>
        </row>
        <row r="11">
          <cell r="B11">
            <v>4</v>
          </cell>
          <cell r="C11" t="str">
            <v>St_D</v>
          </cell>
          <cell r="D11">
            <v>0.426786086537892</v>
          </cell>
          <cell r="E11">
            <v>2</v>
          </cell>
          <cell r="F11">
            <v>4</v>
          </cell>
          <cell r="G11">
            <v>0</v>
          </cell>
          <cell r="H11">
            <v>10000000000</v>
          </cell>
          <cell r="I11">
            <v>0</v>
          </cell>
          <cell r="J11">
            <v>1</v>
          </cell>
          <cell r="K11">
            <v>1</v>
          </cell>
          <cell r="L11">
            <v>0.2712829341806933</v>
          </cell>
          <cell r="M11">
            <v>0.426786086537892</v>
          </cell>
          <cell r="O11">
            <v>4</v>
          </cell>
          <cell r="P11">
            <v>4</v>
          </cell>
          <cell r="Q11">
            <v>0</v>
          </cell>
          <cell r="R11">
            <v>2.220446049250313E-16</v>
          </cell>
        </row>
        <row r="12">
          <cell r="B12">
            <v>5</v>
          </cell>
          <cell r="C12" t="str">
            <v>B_E</v>
          </cell>
          <cell r="D12">
            <v>0.646427593811028</v>
          </cell>
          <cell r="E12">
            <v>2</v>
          </cell>
          <cell r="F12">
            <v>3</v>
          </cell>
          <cell r="G12">
            <v>0</v>
          </cell>
          <cell r="H12">
            <v>10000000000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0.646427593811028</v>
          </cell>
        </row>
        <row r="13">
          <cell r="B13">
            <v>6</v>
          </cell>
          <cell r="C13" t="str">
            <v>St_E</v>
          </cell>
          <cell r="D13">
            <v>1.0732139134621077</v>
          </cell>
          <cell r="E13">
            <v>3</v>
          </cell>
          <cell r="F13">
            <v>4</v>
          </cell>
          <cell r="G13">
            <v>0</v>
          </cell>
          <cell r="H13">
            <v>10000000000</v>
          </cell>
          <cell r="I13">
            <v>0</v>
          </cell>
          <cell r="J13">
            <v>1</v>
          </cell>
          <cell r="K13">
            <v>1</v>
          </cell>
          <cell r="L13">
            <v>0.5569969188382977</v>
          </cell>
          <cell r="M13">
            <v>1.0732139134621077</v>
          </cell>
        </row>
        <row r="14">
          <cell r="B14">
            <v>7</v>
          </cell>
          <cell r="C14" t="str">
            <v>St_F</v>
          </cell>
          <cell r="D14">
            <v>1.5</v>
          </cell>
          <cell r="E14">
            <v>4</v>
          </cell>
          <cell r="F14">
            <v>0</v>
          </cell>
          <cell r="G14">
            <v>0</v>
          </cell>
          <cell r="H14">
            <v>10000000000</v>
          </cell>
          <cell r="I14">
            <v>0</v>
          </cell>
          <cell r="J14">
            <v>1</v>
          </cell>
          <cell r="K14">
            <v>1</v>
          </cell>
          <cell r="L14">
            <v>3</v>
          </cell>
          <cell r="M14">
            <v>1.5</v>
          </cell>
        </row>
      </sheetData>
      <sheetData sheetId="7">
        <row r="1">
          <cell r="E1" t="str">
            <v>Electric</v>
          </cell>
        </row>
        <row r="2">
          <cell r="A2">
            <v>-277.7777777777775</v>
          </cell>
          <cell r="E2" t="str">
            <v>Net</v>
          </cell>
          <cell r="H2" t="str">
            <v>Min</v>
          </cell>
          <cell r="K2" t="str">
            <v>Excel Solver</v>
          </cell>
        </row>
        <row r="3">
          <cell r="A3">
            <v>7</v>
          </cell>
          <cell r="E3">
            <v>7</v>
          </cell>
          <cell r="H3">
            <v>-555.5555395718842</v>
          </cell>
          <cell r="K3" t="str">
            <v>Nonlinear</v>
          </cell>
        </row>
        <row r="4">
          <cell r="A4" t="b">
            <v>0</v>
          </cell>
          <cell r="E4">
            <v>6</v>
          </cell>
          <cell r="H4">
            <v>277.7777617941067</v>
          </cell>
        </row>
        <row r="5">
          <cell r="A5" t="b">
            <v>1</v>
          </cell>
          <cell r="E5">
            <v>0</v>
          </cell>
          <cell r="H5">
            <v>-277.7777777777775</v>
          </cell>
        </row>
        <row r="6">
          <cell r="A6" t="b">
            <v>1</v>
          </cell>
        </row>
        <row r="7">
          <cell r="A7">
            <v>100</v>
          </cell>
          <cell r="B7" t="str">
            <v>Num.</v>
          </cell>
          <cell r="C7" t="str">
            <v>Name</v>
          </cell>
          <cell r="D7" t="str">
            <v>Flow</v>
          </cell>
          <cell r="E7" t="str">
            <v>Origin</v>
          </cell>
          <cell r="F7" t="str">
            <v>Term.</v>
          </cell>
          <cell r="G7" t="str">
            <v>Lower</v>
          </cell>
          <cell r="H7" t="str">
            <v>Upper</v>
          </cell>
          <cell r="I7" t="str">
            <v>Cost</v>
          </cell>
          <cell r="J7" t="str">
            <v>Gain</v>
          </cell>
          <cell r="K7" t="str">
            <v>NL Coef.</v>
          </cell>
          <cell r="L7" t="str">
            <v>NL Terms</v>
          </cell>
          <cell r="M7" t="str">
            <v>Flow_O</v>
          </cell>
          <cell r="O7" t="str">
            <v>Num.</v>
          </cell>
          <cell r="P7" t="str">
            <v>Name</v>
          </cell>
          <cell r="Q7" t="str">
            <v>Fixed</v>
          </cell>
          <cell r="R7" t="str">
            <v>Balance</v>
          </cell>
        </row>
        <row r="8">
          <cell r="B8">
            <v>1</v>
          </cell>
          <cell r="C8" t="str">
            <v>Arc 1</v>
          </cell>
          <cell r="D8">
            <v>5.555555395718842</v>
          </cell>
          <cell r="E8">
            <v>1</v>
          </cell>
          <cell r="F8">
            <v>2</v>
          </cell>
          <cell r="G8">
            <v>-10000000000</v>
          </cell>
          <cell r="H8">
            <v>10000000000</v>
          </cell>
          <cell r="I8">
            <v>-100</v>
          </cell>
          <cell r="J8">
            <v>1</v>
          </cell>
          <cell r="K8">
            <v>0</v>
          </cell>
          <cell r="L8">
            <v>0</v>
          </cell>
          <cell r="M8">
            <v>5.555555395718842</v>
          </cell>
          <cell r="O8">
            <v>1</v>
          </cell>
          <cell r="P8" t="str">
            <v>Node 1</v>
          </cell>
          <cell r="Q8">
            <v>0</v>
          </cell>
          <cell r="R8">
            <v>-8.881784197001252E-16</v>
          </cell>
        </row>
        <row r="9">
          <cell r="B9">
            <v>2</v>
          </cell>
          <cell r="C9" t="str">
            <v>Arc 2</v>
          </cell>
          <cell r="D9">
            <v>5.555555395718842</v>
          </cell>
          <cell r="E9">
            <v>2</v>
          </cell>
          <cell r="F9">
            <v>3</v>
          </cell>
          <cell r="G9">
            <v>-10000000000</v>
          </cell>
          <cell r="H9">
            <v>10000000000</v>
          </cell>
          <cell r="I9">
            <v>0</v>
          </cell>
          <cell r="J9">
            <v>1</v>
          </cell>
          <cell r="K9">
            <v>5</v>
          </cell>
          <cell r="L9">
            <v>30.864195754900734</v>
          </cell>
          <cell r="M9">
            <v>5.555555395718842</v>
          </cell>
          <cell r="O9">
            <v>2</v>
          </cell>
          <cell r="P9" t="str">
            <v>Node 2</v>
          </cell>
          <cell r="Q9">
            <v>0</v>
          </cell>
          <cell r="R9">
            <v>0</v>
          </cell>
        </row>
        <row r="10">
          <cell r="B10">
            <v>3</v>
          </cell>
          <cell r="C10" t="str">
            <v>Arc 3</v>
          </cell>
          <cell r="D10">
            <v>4.444444248504789</v>
          </cell>
          <cell r="E10">
            <v>3</v>
          </cell>
          <cell r="F10">
            <v>4</v>
          </cell>
          <cell r="G10">
            <v>-10000000000</v>
          </cell>
          <cell r="H10">
            <v>10000000000</v>
          </cell>
          <cell r="I10">
            <v>0</v>
          </cell>
          <cell r="J10">
            <v>1</v>
          </cell>
          <cell r="K10">
            <v>5</v>
          </cell>
          <cell r="L10">
            <v>19.7530846780673</v>
          </cell>
          <cell r="M10">
            <v>4.444444248504789</v>
          </cell>
          <cell r="O10">
            <v>3</v>
          </cell>
          <cell r="P10" t="str">
            <v>Node 3</v>
          </cell>
          <cell r="Q10">
            <v>0</v>
          </cell>
          <cell r="R10">
            <v>8.881784197001252E-16</v>
          </cell>
        </row>
        <row r="11">
          <cell r="B11">
            <v>4</v>
          </cell>
          <cell r="C11" t="str">
            <v>Arc 4</v>
          </cell>
          <cell r="D11">
            <v>1.111111147214054</v>
          </cell>
          <cell r="E11">
            <v>3</v>
          </cell>
          <cell r="F11">
            <v>5</v>
          </cell>
          <cell r="G11">
            <v>-10000000000</v>
          </cell>
          <cell r="H11">
            <v>10000000000</v>
          </cell>
          <cell r="I11">
            <v>0</v>
          </cell>
          <cell r="J11">
            <v>1</v>
          </cell>
          <cell r="K11">
            <v>10</v>
          </cell>
          <cell r="L11">
            <v>1.2345679814633312</v>
          </cell>
          <cell r="M11">
            <v>1.111111147214054</v>
          </cell>
          <cell r="O11">
            <v>4</v>
          </cell>
          <cell r="P11" t="str">
            <v>Node 4</v>
          </cell>
          <cell r="Q11">
            <v>0</v>
          </cell>
          <cell r="R11">
            <v>-4.440892098500626E-16</v>
          </cell>
        </row>
        <row r="12">
          <cell r="B12">
            <v>5</v>
          </cell>
          <cell r="C12" t="str">
            <v>Arc 5</v>
          </cell>
          <cell r="D12">
            <v>1.111111147214054</v>
          </cell>
          <cell r="E12">
            <v>5</v>
          </cell>
          <cell r="F12">
            <v>6</v>
          </cell>
          <cell r="G12">
            <v>-10000000000</v>
          </cell>
          <cell r="H12">
            <v>10000000000</v>
          </cell>
          <cell r="I12">
            <v>0</v>
          </cell>
          <cell r="J12">
            <v>1</v>
          </cell>
          <cell r="K12">
            <v>10</v>
          </cell>
          <cell r="L12">
            <v>1.2345679814633312</v>
          </cell>
          <cell r="M12">
            <v>1.111111147214054</v>
          </cell>
          <cell r="O12">
            <v>5</v>
          </cell>
          <cell r="P12" t="str">
            <v>Node 5</v>
          </cell>
          <cell r="Q12">
            <v>0</v>
          </cell>
          <cell r="R12">
            <v>0</v>
          </cell>
        </row>
        <row r="13">
          <cell r="B13">
            <v>6</v>
          </cell>
          <cell r="C13" t="str">
            <v>Arc 6</v>
          </cell>
          <cell r="D13">
            <v>-5.555555395718843</v>
          </cell>
          <cell r="E13">
            <v>1</v>
          </cell>
          <cell r="F13">
            <v>4</v>
          </cell>
          <cell r="G13">
            <v>-10000000000</v>
          </cell>
          <cell r="H13">
            <v>10000000000</v>
          </cell>
          <cell r="I13">
            <v>0</v>
          </cell>
          <cell r="J13">
            <v>1</v>
          </cell>
          <cell r="K13">
            <v>0</v>
          </cell>
          <cell r="L13">
            <v>30.864195754900745</v>
          </cell>
          <cell r="M13">
            <v>-5.555555395718843</v>
          </cell>
          <cell r="O13">
            <v>6</v>
          </cell>
          <cell r="P13" t="str">
            <v>Node 6</v>
          </cell>
          <cell r="Q13">
            <v>0</v>
          </cell>
          <cell r="R13">
            <v>0</v>
          </cell>
        </row>
        <row r="14">
          <cell r="B14">
            <v>7</v>
          </cell>
          <cell r="C14" t="str">
            <v>Arc 7</v>
          </cell>
          <cell r="D14">
            <v>-1.111111147214054</v>
          </cell>
          <cell r="E14">
            <v>4</v>
          </cell>
          <cell r="F14">
            <v>6</v>
          </cell>
          <cell r="G14">
            <v>-10000000000</v>
          </cell>
          <cell r="H14">
            <v>10000000000</v>
          </cell>
          <cell r="I14">
            <v>0</v>
          </cell>
          <cell r="J14">
            <v>1</v>
          </cell>
          <cell r="K14">
            <v>0</v>
          </cell>
          <cell r="L14">
            <v>1.2345679814633312</v>
          </cell>
          <cell r="M14">
            <v>-1.111111147214054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DAAddNode"/>
      <definedName name="DAChangeNetwork"/>
      <definedName name="DAGraphNetwork"/>
      <definedName name="DASolveNetwork"/>
      <definedName name="DASortNetwork"/>
      <definedName name="MatchIF"/>
      <definedName name="MaxIF"/>
      <definedName name="updateUtility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workbookViewId="0" topLeftCell="A1">
      <selection activeCell="A1" sqref="A1"/>
    </sheetView>
  </sheetViews>
  <sheetFormatPr defaultColWidth="11.00390625" defaultRowHeight="12"/>
  <cols>
    <col min="1" max="1" width="17.625" style="50" customWidth="1"/>
    <col min="2" max="2" width="6.00390625" style="51" customWidth="1"/>
    <col min="3" max="3" width="85.625" style="66" customWidth="1"/>
    <col min="4" max="16384" width="12.50390625" style="50" customWidth="1"/>
  </cols>
  <sheetData>
    <row r="1" ht="18">
      <c r="C1" s="52" t="s">
        <v>215</v>
      </c>
    </row>
    <row r="2" spans="2:3" ht="25.5">
      <c r="B2" s="51" t="s">
        <v>216</v>
      </c>
      <c r="C2" s="53" t="s">
        <v>57</v>
      </c>
    </row>
    <row r="3" spans="2:3" ht="25.5">
      <c r="B3" s="51" t="s">
        <v>216</v>
      </c>
      <c r="C3" s="53" t="s">
        <v>58</v>
      </c>
    </row>
    <row r="4" spans="2:3" ht="25.5">
      <c r="B4" s="51" t="s">
        <v>216</v>
      </c>
      <c r="C4" s="53" t="s">
        <v>59</v>
      </c>
    </row>
    <row r="5" spans="2:3" ht="39">
      <c r="B5" s="51" t="s">
        <v>216</v>
      </c>
      <c r="C5" s="53" t="s">
        <v>217</v>
      </c>
    </row>
    <row r="6" spans="2:3" ht="39">
      <c r="B6" s="51" t="s">
        <v>216</v>
      </c>
      <c r="C6" s="53" t="s">
        <v>115</v>
      </c>
    </row>
    <row r="7" spans="2:3" ht="25.5">
      <c r="B7" s="51" t="s">
        <v>216</v>
      </c>
      <c r="C7" s="53" t="s">
        <v>116</v>
      </c>
    </row>
    <row r="8" spans="2:3" ht="39">
      <c r="B8" s="51" t="s">
        <v>216</v>
      </c>
      <c r="C8" s="54" t="s">
        <v>117</v>
      </c>
    </row>
    <row r="9" spans="2:3" ht="18">
      <c r="B9" s="55"/>
      <c r="C9" s="56"/>
    </row>
    <row r="10" spans="1:3" ht="18">
      <c r="A10" s="57"/>
      <c r="B10" s="55"/>
      <c r="C10" s="58" t="s">
        <v>170</v>
      </c>
    </row>
    <row r="11" spans="2:4" ht="15.75">
      <c r="B11" s="59"/>
      <c r="C11" s="60" t="s">
        <v>171</v>
      </c>
      <c r="D11" s="61" t="s">
        <v>118</v>
      </c>
    </row>
    <row r="12" spans="1:17" ht="12.75">
      <c r="A12" s="62" t="s">
        <v>113</v>
      </c>
      <c r="B12" s="59"/>
      <c r="C12" s="63" t="s">
        <v>121</v>
      </c>
      <c r="D12" s="57" t="s">
        <v>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12.75">
      <c r="A13" s="62" t="s">
        <v>1</v>
      </c>
      <c r="B13" s="59"/>
      <c r="C13" s="63" t="s">
        <v>63</v>
      </c>
      <c r="D13" s="57" t="s">
        <v>0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12.75">
      <c r="A14" s="64" t="s">
        <v>56</v>
      </c>
      <c r="B14" s="59"/>
      <c r="C14" s="63" t="s">
        <v>64</v>
      </c>
      <c r="D14" s="57" t="s">
        <v>0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7" ht="12.75">
      <c r="A15" s="64" t="s">
        <v>191</v>
      </c>
      <c r="B15" s="59"/>
      <c r="C15" s="63" t="s">
        <v>65</v>
      </c>
      <c r="D15" s="57" t="s">
        <v>0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7" ht="12.75">
      <c r="A16" s="64" t="s">
        <v>66</v>
      </c>
      <c r="B16" s="59"/>
      <c r="C16" s="63" t="s">
        <v>69</v>
      </c>
      <c r="D16" s="57" t="s">
        <v>0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4" ht="12.75">
      <c r="A17" s="65" t="s">
        <v>212</v>
      </c>
      <c r="C17" s="63" t="s">
        <v>67</v>
      </c>
      <c r="D17" s="57" t="s">
        <v>0</v>
      </c>
    </row>
    <row r="18" spans="1:4" ht="12.75">
      <c r="A18" s="65" t="s">
        <v>70</v>
      </c>
      <c r="C18" s="63" t="s">
        <v>68</v>
      </c>
      <c r="D18" s="57" t="s">
        <v>0</v>
      </c>
    </row>
    <row r="19" spans="1:4" ht="12.75">
      <c r="A19" s="62" t="s">
        <v>242</v>
      </c>
      <c r="C19" s="63" t="s">
        <v>71</v>
      </c>
      <c r="D19" s="57" t="s">
        <v>0</v>
      </c>
    </row>
    <row r="20" spans="1:4" ht="12.75">
      <c r="A20" s="65" t="s">
        <v>72</v>
      </c>
      <c r="C20" s="63" t="s">
        <v>73</v>
      </c>
      <c r="D20" s="57" t="s">
        <v>0</v>
      </c>
    </row>
    <row r="21" spans="1:4" ht="12.75">
      <c r="A21" s="65" t="s">
        <v>119</v>
      </c>
      <c r="C21" s="63" t="s">
        <v>120</v>
      </c>
      <c r="D21" s="57" t="s">
        <v>0</v>
      </c>
    </row>
  </sheetData>
  <hyperlinks>
    <hyperlink ref="A12" location="Repair!A1" display="Repair"/>
    <hyperlink ref="A13" location="'Repair_Graphics'!A1" display="Repair_Graphics"/>
    <hyperlink ref="A14" location="Econ1!A1" display="Econ1"/>
    <hyperlink ref="A15" location="Econ1_U!A1" display="Econ1_U"/>
    <hyperlink ref="A16" location="Econ1_U_Graphics!A1" display="Econ1_U_Graphics"/>
    <hyperlink ref="A17" location="Econ2!A1" display="Econ2"/>
    <hyperlink ref="A21" location="Power_NS!A1" display="Power_NS!A1"/>
    <hyperlink ref="A20" location="Cola_Graphics!A1" display="Cola_Graphics"/>
    <hyperlink ref="A18" location="Econ2_Graphics!A1" display="Econ2_Graphics"/>
    <hyperlink ref="A19" location="Cola!A1" display="Cola"/>
  </hyperlink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11.00390625" defaultRowHeight="12"/>
  <cols>
    <col min="1" max="3" width="8.875" style="0" customWidth="1"/>
    <col min="4" max="4" width="2.875" style="0" customWidth="1"/>
    <col min="5" max="5" width="6.875" style="0" customWidth="1"/>
    <col min="6" max="6" width="12.125" style="0" bestFit="1" customWidth="1"/>
    <col min="7" max="8" width="6.875" style="0" customWidth="1"/>
    <col min="9" max="9" width="15.00390625" style="0" bestFit="1" customWidth="1"/>
    <col min="10" max="11" width="6.875" style="0" customWidth="1"/>
    <col min="12" max="12" width="17.875" style="0" bestFit="1" customWidth="1"/>
    <col min="13" max="14" width="6.875" style="0" customWidth="1"/>
    <col min="15" max="15" width="17.875" style="0" bestFit="1" customWidth="1"/>
    <col min="16" max="17" width="6.875" style="0" customWidth="1"/>
    <col min="18" max="18" width="17.00390625" style="0" bestFit="1" customWidth="1"/>
    <col min="19" max="16384" width="6.875" style="0" customWidth="1"/>
  </cols>
  <sheetData>
    <row r="1" ht="12.75">
      <c r="A1" s="7" t="s">
        <v>243</v>
      </c>
    </row>
    <row r="3" ht="12.75">
      <c r="B3" s="67" t="s">
        <v>160</v>
      </c>
    </row>
    <row r="6" spans="1:18" ht="12.75">
      <c r="A6" s="3" t="s">
        <v>150</v>
      </c>
      <c r="B6" s="3" t="s">
        <v>156</v>
      </c>
      <c r="C6" s="3" t="s">
        <v>155</v>
      </c>
      <c r="F6" s="41" t="s">
        <v>245</v>
      </c>
      <c r="H6" s="3"/>
      <c r="I6" s="44" t="s">
        <v>246</v>
      </c>
      <c r="K6" s="3"/>
      <c r="L6" s="41" t="s">
        <v>250</v>
      </c>
      <c r="N6" s="3"/>
      <c r="O6" s="46" t="s">
        <v>256</v>
      </c>
      <c r="Q6" s="3"/>
      <c r="R6" s="46" t="s">
        <v>260</v>
      </c>
    </row>
    <row r="7" spans="1:18" ht="12.75">
      <c r="A7" s="36" t="s">
        <v>244</v>
      </c>
      <c r="B7" s="36" t="s">
        <v>204</v>
      </c>
      <c r="C7" s="37">
        <v>0.7182396251135061</v>
      </c>
      <c r="F7" s="42">
        <v>0.7182396251135061</v>
      </c>
      <c r="H7" s="3"/>
      <c r="I7" s="45">
        <v>0.7182396251135061</v>
      </c>
      <c r="K7" s="3">
        <v>0.6000000238418579</v>
      </c>
      <c r="L7" s="42">
        <v>0.8528008165090846</v>
      </c>
      <c r="N7" s="3"/>
      <c r="O7" s="47">
        <v>0.5163977794943222</v>
      </c>
      <c r="Q7" s="3">
        <v>0.8500000238418579</v>
      </c>
      <c r="R7" s="47">
        <v>0.9660917830792959</v>
      </c>
    </row>
    <row r="8" spans="1:17" ht="12.75">
      <c r="A8" s="36" t="s">
        <v>249</v>
      </c>
      <c r="B8" s="36" t="s">
        <v>254</v>
      </c>
      <c r="C8" s="37">
        <v>0.8528008165090846</v>
      </c>
      <c r="F8" s="43" t="s">
        <v>204</v>
      </c>
      <c r="K8" s="3"/>
      <c r="L8" s="43" t="s">
        <v>254</v>
      </c>
      <c r="Q8" s="3"/>
    </row>
    <row r="9" spans="1:3" ht="12.75">
      <c r="A9" s="36" t="s">
        <v>249</v>
      </c>
      <c r="B9" s="36" t="s">
        <v>255</v>
      </c>
      <c r="C9" s="37">
        <v>0.5163977794943222</v>
      </c>
    </row>
    <row r="10" spans="1:3" ht="12.75">
      <c r="A10" s="36" t="s">
        <v>247</v>
      </c>
      <c r="B10" s="36" t="s">
        <v>76</v>
      </c>
      <c r="C10" s="37">
        <v>0.7000000079472859</v>
      </c>
    </row>
    <row r="12" spans="8:18" ht="12.75">
      <c r="H12" s="3"/>
      <c r="I12" s="41" t="s">
        <v>248</v>
      </c>
      <c r="K12" s="3"/>
      <c r="L12" s="41" t="s">
        <v>251</v>
      </c>
      <c r="N12" s="3"/>
      <c r="O12" s="44" t="s">
        <v>257</v>
      </c>
      <c r="Q12" s="3"/>
      <c r="R12" s="46" t="s">
        <v>60</v>
      </c>
    </row>
    <row r="13" spans="8:18" ht="12.75">
      <c r="H13" s="3"/>
      <c r="I13" s="42">
        <v>0.7000000079472859</v>
      </c>
      <c r="K13" s="3">
        <v>0.4000000059604645</v>
      </c>
      <c r="L13" s="42">
        <v>0.5163977794943222</v>
      </c>
      <c r="N13" s="3"/>
      <c r="O13" s="45">
        <v>0.8528008165090846</v>
      </c>
      <c r="Q13" s="3">
        <v>0.15000000596046448</v>
      </c>
      <c r="R13" s="47">
        <v>0.21081851067789195</v>
      </c>
    </row>
    <row r="14" spans="9:17" ht="12.75">
      <c r="I14" s="43" t="s">
        <v>76</v>
      </c>
      <c r="K14" s="3"/>
      <c r="L14" s="43" t="s">
        <v>255</v>
      </c>
      <c r="Q14" s="3"/>
    </row>
    <row r="18" spans="11:18" ht="12.75">
      <c r="K18" s="3"/>
      <c r="L18" s="44" t="s">
        <v>77</v>
      </c>
      <c r="N18" s="3"/>
      <c r="O18" s="46" t="s">
        <v>61</v>
      </c>
      <c r="Q18" s="3"/>
      <c r="R18" s="46" t="s">
        <v>74</v>
      </c>
    </row>
    <row r="19" spans="11:18" ht="12.75">
      <c r="K19" s="3"/>
      <c r="L19" s="45">
        <v>0.7000000079472859</v>
      </c>
      <c r="N19" s="3"/>
      <c r="O19" s="47">
        <v>0.5163977794943222</v>
      </c>
      <c r="Q19" s="3">
        <v>0.10000000149011612</v>
      </c>
      <c r="R19" s="47">
        <v>0.9660917830792959</v>
      </c>
    </row>
    <row r="20" ht="12.75">
      <c r="Q20" s="3"/>
    </row>
    <row r="24" spans="11:18" ht="12.75">
      <c r="K24" s="3"/>
      <c r="L24" s="46" t="s">
        <v>78</v>
      </c>
      <c r="N24" s="3"/>
      <c r="O24" s="44" t="s">
        <v>62</v>
      </c>
      <c r="Q24" s="3"/>
      <c r="R24" s="46" t="s">
        <v>75</v>
      </c>
    </row>
    <row r="25" spans="11:18" ht="12.75">
      <c r="K25" s="3"/>
      <c r="L25" s="47">
        <v>0.5773502691896257</v>
      </c>
      <c r="N25" s="3"/>
      <c r="O25" s="45">
        <v>0.28634583433131633</v>
      </c>
      <c r="Q25" s="3">
        <v>0.8999999761581421</v>
      </c>
      <c r="R25" s="47">
        <v>0.21081851067789195</v>
      </c>
    </row>
    <row r="26" ht="12.75">
      <c r="Q26" s="3"/>
    </row>
    <row r="30" spans="14:15" ht="12.75">
      <c r="N30" s="3"/>
      <c r="O30" s="46" t="s">
        <v>79</v>
      </c>
    </row>
    <row r="31" spans="14:15" ht="12.75">
      <c r="N31" s="3">
        <v>0.550000011920929</v>
      </c>
      <c r="O31" s="47">
        <v>1</v>
      </c>
    </row>
    <row r="32" ht="12.75">
      <c r="N32" s="3"/>
    </row>
    <row r="36" spans="14:15" ht="12.75">
      <c r="N36" s="3"/>
      <c r="O36" s="46" t="s">
        <v>80</v>
      </c>
    </row>
    <row r="37" spans="14:15" ht="12.75">
      <c r="N37" s="3">
        <v>0.44999998807907104</v>
      </c>
      <c r="O37" s="47">
        <v>0.3333333333333333</v>
      </c>
    </row>
    <row r="38" ht="12.75">
      <c r="N38" s="3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8"/>
  <sheetViews>
    <sheetView showGridLines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11.00390625" defaultRowHeight="12"/>
  <cols>
    <col min="1" max="16384" width="6.875" style="0" customWidth="1"/>
  </cols>
  <sheetData>
    <row r="1" spans="1:20" ht="15">
      <c r="A1" s="1" t="s">
        <v>111</v>
      </c>
      <c r="E1" s="2" t="s">
        <v>112</v>
      </c>
      <c r="F1" s="4" t="s">
        <v>103</v>
      </c>
      <c r="H1" s="2" t="s">
        <v>127</v>
      </c>
      <c r="I1" s="5" t="s">
        <v>128</v>
      </c>
      <c r="K1" s="2" t="s">
        <v>132</v>
      </c>
      <c r="L1" s="5" t="s">
        <v>130</v>
      </c>
      <c r="N1" s="2" t="s">
        <v>137</v>
      </c>
      <c r="O1" s="5" t="s">
        <v>93</v>
      </c>
      <c r="P1" s="18" t="s">
        <v>181</v>
      </c>
      <c r="Q1" s="3" t="s">
        <v>184</v>
      </c>
      <c r="R1" s="3" t="s">
        <v>185</v>
      </c>
      <c r="S1" s="3" t="s">
        <v>186</v>
      </c>
      <c r="T1" s="3" t="s">
        <v>187</v>
      </c>
    </row>
    <row r="2" spans="5:20" ht="12.75">
      <c r="E2" s="2" t="s">
        <v>114</v>
      </c>
      <c r="F2" s="5" t="s">
        <v>122</v>
      </c>
      <c r="H2" s="2" t="s">
        <v>129</v>
      </c>
      <c r="I2" s="5" t="s">
        <v>130</v>
      </c>
      <c r="K2" s="2" t="s">
        <v>133</v>
      </c>
      <c r="L2" s="5" t="s">
        <v>130</v>
      </c>
      <c r="N2" s="2" t="s">
        <v>139</v>
      </c>
      <c r="O2" s="5" t="s">
        <v>128</v>
      </c>
      <c r="P2" s="3"/>
      <c r="Q2" s="39">
        <v>1</v>
      </c>
      <c r="R2" s="40">
        <f>[1]!MinIF(Dec1_Node_Type,"T",Dec1_Node_Added)</f>
        <v>2</v>
      </c>
      <c r="S2" s="40">
        <f>[1]!MaxIF(Dec1_Node_Type,"T",Dec1_Node_Added)</f>
        <v>12</v>
      </c>
      <c r="T2" s="40">
        <f>IF(Dec1_Util_Max&gt;0,Dec1_Util_Max-Dec1_Util_Min,1)</f>
        <v>10</v>
      </c>
    </row>
    <row r="3" spans="2:19" ht="12.75">
      <c r="B3" s="67" t="s">
        <v>159</v>
      </c>
      <c r="E3" s="2" t="s">
        <v>123</v>
      </c>
      <c r="F3" s="5" t="s">
        <v>172</v>
      </c>
      <c r="H3" s="2" t="s">
        <v>218</v>
      </c>
      <c r="I3" s="5" t="s">
        <v>128</v>
      </c>
      <c r="K3" s="2" t="s">
        <v>134</v>
      </c>
      <c r="L3" s="5" t="s">
        <v>130</v>
      </c>
      <c r="P3" s="3"/>
      <c r="Q3" s="3" t="s">
        <v>155</v>
      </c>
      <c r="R3" s="3" t="s">
        <v>188</v>
      </c>
      <c r="S3" t="s">
        <v>189</v>
      </c>
    </row>
    <row r="4" spans="5:21" ht="12.75">
      <c r="E4" s="2" t="s">
        <v>125</v>
      </c>
      <c r="F4" s="5" t="s">
        <v>126</v>
      </c>
      <c r="K4" s="2" t="s">
        <v>135</v>
      </c>
      <c r="L4" s="5" t="s">
        <v>128</v>
      </c>
      <c r="P4" s="3"/>
      <c r="Q4" s="39">
        <v>10</v>
      </c>
      <c r="R4" s="40">
        <f>(Q4-Dec1_Util_Min)/Dec1_Util_Norm</f>
        <v>0.8</v>
      </c>
      <c r="S4" s="21">
        <f>Dec1_Util_Min+R4*Dec1_Util_Norm</f>
        <v>10</v>
      </c>
      <c r="U4" s="67" t="s">
        <v>190</v>
      </c>
    </row>
    <row r="5" spans="2:12" ht="12.75">
      <c r="B5" s="67" t="s">
        <v>160</v>
      </c>
      <c r="K5" s="2" t="s">
        <v>136</v>
      </c>
      <c r="L5" s="5" t="s">
        <v>128</v>
      </c>
    </row>
    <row r="6" spans="4:14" ht="12.75">
      <c r="D6" s="7" t="s">
        <v>140</v>
      </c>
      <c r="N6" s="7" t="s">
        <v>149</v>
      </c>
    </row>
    <row r="7" spans="2:23" ht="12.75">
      <c r="B7" s="67" t="s">
        <v>161</v>
      </c>
      <c r="C7" s="3"/>
      <c r="D7" s="3" t="s">
        <v>141</v>
      </c>
      <c r="E7" s="3" t="s">
        <v>143</v>
      </c>
      <c r="F7" s="3" t="s">
        <v>144</v>
      </c>
      <c r="G7" s="3" t="s">
        <v>141</v>
      </c>
      <c r="H7" s="3" t="s">
        <v>143</v>
      </c>
      <c r="I7" s="3" t="s">
        <v>144</v>
      </c>
      <c r="J7" s="3" t="s">
        <v>141</v>
      </c>
      <c r="K7" s="3" t="s">
        <v>141</v>
      </c>
      <c r="M7" s="3" t="s">
        <v>150</v>
      </c>
      <c r="N7" s="3" t="s">
        <v>150</v>
      </c>
      <c r="O7" s="3" t="s">
        <v>150</v>
      </c>
      <c r="P7" s="3" t="s">
        <v>150</v>
      </c>
      <c r="Q7" s="3" t="s">
        <v>150</v>
      </c>
      <c r="R7" s="3" t="s">
        <v>154</v>
      </c>
      <c r="S7" s="3" t="s">
        <v>182</v>
      </c>
      <c r="T7" s="3" t="s">
        <v>154</v>
      </c>
      <c r="U7" s="3" t="s">
        <v>154</v>
      </c>
      <c r="V7" s="3" t="s">
        <v>150</v>
      </c>
      <c r="W7" s="3" t="s">
        <v>150</v>
      </c>
    </row>
    <row r="8" spans="3:23" ht="12.75">
      <c r="C8" s="3"/>
      <c r="D8" s="3" t="s">
        <v>142</v>
      </c>
      <c r="E8" s="3" t="s">
        <v>142</v>
      </c>
      <c r="F8" s="3" t="s">
        <v>142</v>
      </c>
      <c r="G8" s="3" t="s">
        <v>146</v>
      </c>
      <c r="H8" s="3" t="s">
        <v>147</v>
      </c>
      <c r="I8" s="3" t="s">
        <v>147</v>
      </c>
      <c r="J8" s="3" t="s">
        <v>147</v>
      </c>
      <c r="K8" s="3" t="s">
        <v>181</v>
      </c>
      <c r="M8" s="3" t="s">
        <v>142</v>
      </c>
      <c r="N8" s="3" t="s">
        <v>147</v>
      </c>
      <c r="O8" s="3" t="s">
        <v>151</v>
      </c>
      <c r="P8" s="3" t="s">
        <v>155</v>
      </c>
      <c r="Q8" s="3" t="s">
        <v>181</v>
      </c>
      <c r="R8" s="3" t="s">
        <v>181</v>
      </c>
      <c r="S8" s="3" t="s">
        <v>183</v>
      </c>
      <c r="T8" s="3" t="s">
        <v>141</v>
      </c>
      <c r="U8" s="3" t="s">
        <v>156</v>
      </c>
      <c r="V8" s="3" t="s">
        <v>157</v>
      </c>
      <c r="W8" s="3" t="s">
        <v>158</v>
      </c>
    </row>
    <row r="9" spans="2:23" ht="12.75">
      <c r="B9" s="67" t="s">
        <v>162</v>
      </c>
      <c r="D9" s="8">
        <v>1</v>
      </c>
      <c r="E9" s="9">
        <v>1</v>
      </c>
      <c r="F9" s="9">
        <v>2</v>
      </c>
      <c r="G9" s="9">
        <v>1</v>
      </c>
      <c r="H9" s="10" t="str">
        <f aca="true" t="shared" si="0" ref="H9:H27">LOOKUP(Dec1_From,Dec1_Nodes,Dec1_Node_Name)</f>
        <v>D_1</v>
      </c>
      <c r="I9" s="10" t="str">
        <f aca="true" t="shared" si="1" ref="I9:I27">LOOKUP(Dec1_To,Dec1_Nodes,Dec1_Node_Name)</f>
        <v>C_1</v>
      </c>
      <c r="J9" s="11" t="str">
        <f aca="true" t="shared" si="2" ref="J9:J27">I9</f>
        <v>C_1</v>
      </c>
      <c r="K9" s="12">
        <f aca="true" t="shared" si="3" ref="K9:K27">Dec1_Prob*(LOOKUP(Dec1_To,Dec1_Nodes,Dec1_Node_Value))</f>
        <v>0.43600000286102303</v>
      </c>
      <c r="M9" s="8">
        <v>1</v>
      </c>
      <c r="N9" s="8" t="s">
        <v>213</v>
      </c>
      <c r="O9" s="13" t="s">
        <v>153</v>
      </c>
      <c r="P9" s="9">
        <v>0</v>
      </c>
      <c r="Q9" s="38">
        <f aca="true" t="shared" si="4" ref="Q9:Q27">IF(Dec1_Node_Type="T",(P9-Dec1_Util_Min)/Dec1_Util_Norm,"")</f>
      </c>
      <c r="R9" s="12">
        <f aca="true" t="shared" si="5" ref="R9:R28">IF(Dec1_Node_Type="T",Dec1_Node_Utility,SUMIF(Dec1_From,M9,Dec1_Total))</f>
        <v>1.0360000118017196</v>
      </c>
      <c r="S9" s="38">
        <f aca="true" t="shared" si="6" ref="S9:S28">Dec1_Util_Min+R9*Dec1_Util_Norm</f>
        <v>12.360000118017197</v>
      </c>
      <c r="T9" s="14"/>
      <c r="U9" s="10" t="e">
        <f aca="true" t="shared" si="7" ref="U9:U28">IF(Dec1_Node_Type="D",LOOKUP(T9,Dec1_Arcs,Dec1_Arc_Name),"")</f>
        <v>#N/A</v>
      </c>
      <c r="V9" s="14">
        <v>0</v>
      </c>
      <c r="W9" s="14">
        <v>0</v>
      </c>
    </row>
    <row r="10" spans="4:23" ht="12.75">
      <c r="D10" s="8">
        <v>2</v>
      </c>
      <c r="E10" s="9">
        <v>1</v>
      </c>
      <c r="F10" s="9">
        <v>3</v>
      </c>
      <c r="G10" s="9">
        <v>1</v>
      </c>
      <c r="H10" s="10" t="str">
        <f t="shared" si="0"/>
        <v>D_1</v>
      </c>
      <c r="I10" s="10" t="str">
        <f t="shared" si="1"/>
        <v>C_2</v>
      </c>
      <c r="J10" s="11" t="str">
        <f t="shared" si="2"/>
        <v>C_2</v>
      </c>
      <c r="K10" s="12">
        <f t="shared" si="3"/>
        <v>0.6000000089406967</v>
      </c>
      <c r="M10" s="8">
        <v>2</v>
      </c>
      <c r="N10" s="8" t="s">
        <v>214</v>
      </c>
      <c r="O10" s="13" t="s">
        <v>166</v>
      </c>
      <c r="P10" s="9">
        <v>0</v>
      </c>
      <c r="Q10" s="38">
        <f t="shared" si="4"/>
      </c>
      <c r="R10" s="12">
        <f t="shared" si="5"/>
        <v>0.43600000286102303</v>
      </c>
      <c r="S10" s="38">
        <f t="shared" si="6"/>
        <v>6.36000002861023</v>
      </c>
      <c r="T10" s="14"/>
      <c r="U10" s="10">
        <f t="shared" si="7"/>
      </c>
      <c r="V10" s="14">
        <v>0</v>
      </c>
      <c r="W10" s="14">
        <v>0</v>
      </c>
    </row>
    <row r="11" spans="2:23" ht="12.75">
      <c r="B11" s="67" t="s">
        <v>163</v>
      </c>
      <c r="D11" s="8">
        <v>3</v>
      </c>
      <c r="E11" s="9">
        <v>2</v>
      </c>
      <c r="F11" s="9">
        <v>4</v>
      </c>
      <c r="G11" s="9">
        <v>0.699999988079071</v>
      </c>
      <c r="H11" s="10" t="str">
        <f t="shared" si="0"/>
        <v>C_1</v>
      </c>
      <c r="I11" s="10" t="str">
        <f t="shared" si="1"/>
        <v>D_2</v>
      </c>
      <c r="J11" s="11" t="str">
        <f t="shared" si="2"/>
        <v>D_2</v>
      </c>
      <c r="K11" s="12">
        <f t="shared" si="3"/>
        <v>0.19599999332427986</v>
      </c>
      <c r="M11" s="8">
        <v>3</v>
      </c>
      <c r="N11" s="8" t="s">
        <v>219</v>
      </c>
      <c r="O11" s="13" t="s">
        <v>166</v>
      </c>
      <c r="P11" s="9">
        <v>0</v>
      </c>
      <c r="Q11" s="38">
        <f t="shared" si="4"/>
      </c>
      <c r="R11" s="12">
        <f t="shared" si="5"/>
        <v>0.6000000089406967</v>
      </c>
      <c r="S11" s="38">
        <f t="shared" si="6"/>
        <v>8.000000089406967</v>
      </c>
      <c r="T11" s="14"/>
      <c r="U11" s="10">
        <f t="shared" si="7"/>
      </c>
      <c r="V11" s="14">
        <v>0</v>
      </c>
      <c r="W11" s="14">
        <v>0</v>
      </c>
    </row>
    <row r="12" spans="4:23" ht="12.75">
      <c r="D12" s="8">
        <v>4</v>
      </c>
      <c r="E12" s="9">
        <v>2</v>
      </c>
      <c r="F12" s="9">
        <v>5</v>
      </c>
      <c r="G12" s="9">
        <v>0.30000001192092896</v>
      </c>
      <c r="H12" s="10" t="str">
        <f t="shared" si="0"/>
        <v>C_1</v>
      </c>
      <c r="I12" s="10" t="str">
        <f t="shared" si="1"/>
        <v>D_3</v>
      </c>
      <c r="J12" s="11" t="str">
        <f t="shared" si="2"/>
        <v>D_3</v>
      </c>
      <c r="K12" s="12">
        <f t="shared" si="3"/>
        <v>0.24000000953674316</v>
      </c>
      <c r="M12" s="8">
        <v>4</v>
      </c>
      <c r="N12" s="8" t="s">
        <v>220</v>
      </c>
      <c r="O12" s="13" t="s">
        <v>153</v>
      </c>
      <c r="P12" s="9">
        <v>0</v>
      </c>
      <c r="Q12" s="38">
        <f t="shared" si="4"/>
      </c>
      <c r="R12" s="12">
        <f t="shared" si="5"/>
        <v>0.27999999523162844</v>
      </c>
      <c r="S12" s="38">
        <f t="shared" si="6"/>
        <v>4.799999952316284</v>
      </c>
      <c r="T12" s="14"/>
      <c r="U12" s="10" t="e">
        <f t="shared" si="7"/>
        <v>#N/A</v>
      </c>
      <c r="V12" s="14">
        <v>0</v>
      </c>
      <c r="W12" s="14">
        <v>0</v>
      </c>
    </row>
    <row r="13" spans="4:23" ht="12.75">
      <c r="D13" s="8">
        <v>5</v>
      </c>
      <c r="E13" s="9">
        <v>3</v>
      </c>
      <c r="F13" s="9">
        <v>6</v>
      </c>
      <c r="G13" s="9">
        <v>0.20000000298023224</v>
      </c>
      <c r="H13" s="10" t="str">
        <f t="shared" si="0"/>
        <v>C_2</v>
      </c>
      <c r="I13" s="10" t="str">
        <f t="shared" si="1"/>
        <v>D_4</v>
      </c>
      <c r="J13" s="11" t="str">
        <f t="shared" si="2"/>
        <v>D_4</v>
      </c>
      <c r="K13" s="12">
        <f t="shared" si="3"/>
        <v>0.20000000298023224</v>
      </c>
      <c r="M13" s="8">
        <v>5</v>
      </c>
      <c r="N13" s="8" t="s">
        <v>221</v>
      </c>
      <c r="O13" s="13" t="s">
        <v>153</v>
      </c>
      <c r="P13" s="9">
        <v>0</v>
      </c>
      <c r="Q13" s="38">
        <f t="shared" si="4"/>
      </c>
      <c r="R13" s="12">
        <f t="shared" si="5"/>
        <v>0.8</v>
      </c>
      <c r="S13" s="38">
        <f t="shared" si="6"/>
        <v>10</v>
      </c>
      <c r="T13" s="14"/>
      <c r="U13" s="10" t="e">
        <f t="shared" si="7"/>
        <v>#N/A</v>
      </c>
      <c r="V13" s="14">
        <v>0</v>
      </c>
      <c r="W13" s="14">
        <v>0</v>
      </c>
    </row>
    <row r="14" spans="4:23" ht="12.75">
      <c r="D14" s="8">
        <v>6</v>
      </c>
      <c r="E14" s="9">
        <v>3</v>
      </c>
      <c r="F14" s="9">
        <v>7</v>
      </c>
      <c r="G14" s="9">
        <v>0.800000011920929</v>
      </c>
      <c r="H14" s="10" t="str">
        <f t="shared" si="0"/>
        <v>C_2</v>
      </c>
      <c r="I14" s="10" t="str">
        <f t="shared" si="1"/>
        <v>D_5</v>
      </c>
      <c r="J14" s="11" t="str">
        <f t="shared" si="2"/>
        <v>D_5</v>
      </c>
      <c r="K14" s="12">
        <f t="shared" si="3"/>
        <v>0.4000000059604645</v>
      </c>
      <c r="M14" s="8">
        <v>6</v>
      </c>
      <c r="N14" s="8" t="s">
        <v>222</v>
      </c>
      <c r="O14" s="13" t="s">
        <v>153</v>
      </c>
      <c r="P14" s="9">
        <v>0</v>
      </c>
      <c r="Q14" s="38">
        <f t="shared" si="4"/>
      </c>
      <c r="R14" s="12">
        <f t="shared" si="5"/>
        <v>1</v>
      </c>
      <c r="S14" s="38">
        <f t="shared" si="6"/>
        <v>12</v>
      </c>
      <c r="T14" s="14"/>
      <c r="U14" s="10" t="e">
        <f t="shared" si="7"/>
        <v>#N/A</v>
      </c>
      <c r="V14" s="14">
        <v>0</v>
      </c>
      <c r="W14" s="14">
        <v>0</v>
      </c>
    </row>
    <row r="15" spans="4:23" ht="12.75">
      <c r="D15" s="8">
        <v>7</v>
      </c>
      <c r="E15" s="9">
        <v>4</v>
      </c>
      <c r="F15" s="9">
        <v>8</v>
      </c>
      <c r="G15" s="9">
        <v>1</v>
      </c>
      <c r="H15" s="10" t="str">
        <f t="shared" si="0"/>
        <v>D_2</v>
      </c>
      <c r="I15" s="10" t="str">
        <f t="shared" si="1"/>
        <v>C_3</v>
      </c>
      <c r="J15" s="11" t="str">
        <f t="shared" si="2"/>
        <v>C_3</v>
      </c>
      <c r="K15" s="12">
        <f t="shared" si="3"/>
        <v>0.2</v>
      </c>
      <c r="M15" s="8">
        <v>7</v>
      </c>
      <c r="N15" s="8" t="s">
        <v>223</v>
      </c>
      <c r="O15" s="13" t="s">
        <v>153</v>
      </c>
      <c r="P15" s="9">
        <v>0</v>
      </c>
      <c r="Q15" s="38">
        <f t="shared" si="4"/>
      </c>
      <c r="R15" s="12">
        <f t="shared" si="5"/>
        <v>0.5</v>
      </c>
      <c r="S15" s="38">
        <f t="shared" si="6"/>
        <v>7</v>
      </c>
      <c r="T15" s="14"/>
      <c r="U15" s="10" t="e">
        <f t="shared" si="7"/>
        <v>#N/A</v>
      </c>
      <c r="V15" s="14">
        <v>0</v>
      </c>
      <c r="W15" s="14">
        <v>0</v>
      </c>
    </row>
    <row r="16" spans="4:23" ht="12.75">
      <c r="D16" s="8">
        <v>8</v>
      </c>
      <c r="E16" s="9">
        <v>4</v>
      </c>
      <c r="F16" s="9">
        <v>9</v>
      </c>
      <c r="G16" s="9">
        <v>1</v>
      </c>
      <c r="H16" s="10" t="str">
        <f t="shared" si="0"/>
        <v>D_2</v>
      </c>
      <c r="I16" s="10" t="str">
        <f t="shared" si="1"/>
        <v>C_4</v>
      </c>
      <c r="J16" s="11" t="str">
        <f t="shared" si="2"/>
        <v>C_4</v>
      </c>
      <c r="K16" s="12">
        <f t="shared" si="3"/>
        <v>0.07999999523162843</v>
      </c>
      <c r="M16" s="8">
        <v>8</v>
      </c>
      <c r="N16" s="8" t="s">
        <v>224</v>
      </c>
      <c r="O16" s="13" t="s">
        <v>166</v>
      </c>
      <c r="P16" s="9">
        <v>0</v>
      </c>
      <c r="Q16" s="38">
        <f t="shared" si="4"/>
      </c>
      <c r="R16" s="12">
        <f t="shared" si="5"/>
        <v>0.2</v>
      </c>
      <c r="S16" s="38">
        <f t="shared" si="6"/>
        <v>4</v>
      </c>
      <c r="T16" s="14"/>
      <c r="U16" s="10">
        <f t="shared" si="7"/>
      </c>
      <c r="V16" s="14">
        <v>0</v>
      </c>
      <c r="W16" s="14">
        <v>0</v>
      </c>
    </row>
    <row r="17" spans="4:23" ht="12.75">
      <c r="D17" s="8">
        <v>9</v>
      </c>
      <c r="E17" s="9">
        <v>5</v>
      </c>
      <c r="F17" s="9">
        <v>10</v>
      </c>
      <c r="G17" s="9">
        <v>1</v>
      </c>
      <c r="H17" s="10" t="str">
        <f t="shared" si="0"/>
        <v>D_3</v>
      </c>
      <c r="I17" s="10" t="str">
        <f t="shared" si="1"/>
        <v>C_5</v>
      </c>
      <c r="J17" s="11" t="str">
        <f t="shared" si="2"/>
        <v>C_5</v>
      </c>
      <c r="K17" s="12">
        <f t="shared" si="3"/>
        <v>0</v>
      </c>
      <c r="M17" s="8">
        <v>9</v>
      </c>
      <c r="N17" s="8" t="s">
        <v>225</v>
      </c>
      <c r="O17" s="13" t="s">
        <v>166</v>
      </c>
      <c r="P17" s="9">
        <v>0</v>
      </c>
      <c r="Q17" s="38">
        <f t="shared" si="4"/>
      </c>
      <c r="R17" s="12">
        <f t="shared" si="5"/>
        <v>0.07999999523162843</v>
      </c>
      <c r="S17" s="38">
        <f t="shared" si="6"/>
        <v>2.799999952316284</v>
      </c>
      <c r="T17" s="14"/>
      <c r="U17" s="10">
        <f t="shared" si="7"/>
      </c>
      <c r="V17" s="14">
        <v>0</v>
      </c>
      <c r="W17" s="14">
        <v>0</v>
      </c>
    </row>
    <row r="18" spans="4:23" ht="12.75">
      <c r="D18" s="8">
        <v>10</v>
      </c>
      <c r="E18" s="9">
        <v>5</v>
      </c>
      <c r="F18" s="9">
        <v>11</v>
      </c>
      <c r="G18" s="9">
        <v>1</v>
      </c>
      <c r="H18" s="10" t="str">
        <f t="shared" si="0"/>
        <v>D_3</v>
      </c>
      <c r="I18" s="10" t="str">
        <f t="shared" si="1"/>
        <v>T_1</v>
      </c>
      <c r="J18" s="11" t="str">
        <f t="shared" si="2"/>
        <v>T_1</v>
      </c>
      <c r="K18" s="12">
        <f t="shared" si="3"/>
        <v>0.8</v>
      </c>
      <c r="M18" s="8">
        <v>10</v>
      </c>
      <c r="N18" s="8" t="s">
        <v>226</v>
      </c>
      <c r="O18" s="13" t="s">
        <v>166</v>
      </c>
      <c r="P18" s="9">
        <v>0</v>
      </c>
      <c r="Q18" s="38">
        <f t="shared" si="4"/>
      </c>
      <c r="R18" s="12">
        <f t="shared" si="5"/>
        <v>0</v>
      </c>
      <c r="S18" s="38">
        <f t="shared" si="6"/>
        <v>2</v>
      </c>
      <c r="T18" s="14"/>
      <c r="U18" s="10">
        <f t="shared" si="7"/>
      </c>
      <c r="V18" s="14">
        <v>0</v>
      </c>
      <c r="W18" s="14">
        <v>0</v>
      </c>
    </row>
    <row r="19" spans="4:23" ht="12.75">
      <c r="D19" s="8">
        <v>11</v>
      </c>
      <c r="E19" s="9">
        <v>6</v>
      </c>
      <c r="F19" s="9">
        <v>12</v>
      </c>
      <c r="G19" s="9">
        <v>1</v>
      </c>
      <c r="H19" s="10" t="str">
        <f t="shared" si="0"/>
        <v>D_4</v>
      </c>
      <c r="I19" s="10" t="str">
        <f t="shared" si="1"/>
        <v>T_2</v>
      </c>
      <c r="J19" s="11" t="str">
        <f t="shared" si="2"/>
        <v>T_2</v>
      </c>
      <c r="K19" s="12">
        <f t="shared" si="3"/>
        <v>0</v>
      </c>
      <c r="M19" s="8">
        <v>11</v>
      </c>
      <c r="N19" s="8" t="s">
        <v>227</v>
      </c>
      <c r="O19" s="13" t="s">
        <v>152</v>
      </c>
      <c r="P19" s="9">
        <v>10</v>
      </c>
      <c r="Q19" s="38">
        <f t="shared" si="4"/>
        <v>0.8</v>
      </c>
      <c r="R19" s="12">
        <f t="shared" si="5"/>
        <v>0.8</v>
      </c>
      <c r="S19" s="38">
        <f t="shared" si="6"/>
        <v>10</v>
      </c>
      <c r="T19" s="14"/>
      <c r="U19" s="10">
        <f t="shared" si="7"/>
      </c>
      <c r="V19" s="14">
        <v>0</v>
      </c>
      <c r="W19" s="14">
        <v>0</v>
      </c>
    </row>
    <row r="20" spans="4:23" ht="12.75">
      <c r="D20" s="8">
        <v>12</v>
      </c>
      <c r="E20" s="9">
        <v>6</v>
      </c>
      <c r="F20" s="9">
        <v>13</v>
      </c>
      <c r="G20" s="9">
        <v>1</v>
      </c>
      <c r="H20" s="10" t="str">
        <f t="shared" si="0"/>
        <v>D_4</v>
      </c>
      <c r="I20" s="10" t="str">
        <f t="shared" si="1"/>
        <v>T_3</v>
      </c>
      <c r="J20" s="11" t="str">
        <f t="shared" si="2"/>
        <v>T_3</v>
      </c>
      <c r="K20" s="12">
        <f t="shared" si="3"/>
        <v>1</v>
      </c>
      <c r="M20" s="8">
        <v>12</v>
      </c>
      <c r="N20" s="8" t="s">
        <v>228</v>
      </c>
      <c r="O20" s="13" t="s">
        <v>152</v>
      </c>
      <c r="P20" s="9">
        <v>2</v>
      </c>
      <c r="Q20" s="38">
        <f t="shared" si="4"/>
        <v>0</v>
      </c>
      <c r="R20" s="12">
        <f t="shared" si="5"/>
        <v>0</v>
      </c>
      <c r="S20" s="38">
        <f t="shared" si="6"/>
        <v>2</v>
      </c>
      <c r="T20" s="14"/>
      <c r="U20" s="10">
        <f t="shared" si="7"/>
      </c>
      <c r="V20" s="14">
        <v>0</v>
      </c>
      <c r="W20" s="14">
        <v>0</v>
      </c>
    </row>
    <row r="21" spans="4:23" ht="12.75">
      <c r="D21" s="8">
        <v>13</v>
      </c>
      <c r="E21" s="9">
        <v>7</v>
      </c>
      <c r="F21" s="9">
        <v>14</v>
      </c>
      <c r="G21" s="9">
        <v>1</v>
      </c>
      <c r="H21" s="10" t="str">
        <f t="shared" si="0"/>
        <v>D_5</v>
      </c>
      <c r="I21" s="10" t="str">
        <f t="shared" si="1"/>
        <v>T_4</v>
      </c>
      <c r="J21" s="11" t="str">
        <f t="shared" si="2"/>
        <v>T_4</v>
      </c>
      <c r="K21" s="12">
        <f t="shared" si="3"/>
        <v>0.5</v>
      </c>
      <c r="M21" s="8">
        <v>13</v>
      </c>
      <c r="N21" s="8" t="s">
        <v>229</v>
      </c>
      <c r="O21" s="13" t="s">
        <v>152</v>
      </c>
      <c r="P21" s="9">
        <v>12</v>
      </c>
      <c r="Q21" s="38">
        <f t="shared" si="4"/>
        <v>1</v>
      </c>
      <c r="R21" s="12">
        <f t="shared" si="5"/>
        <v>1</v>
      </c>
      <c r="S21" s="38">
        <f t="shared" si="6"/>
        <v>12</v>
      </c>
      <c r="T21" s="14"/>
      <c r="U21" s="10">
        <f t="shared" si="7"/>
      </c>
      <c r="V21" s="14">
        <v>0</v>
      </c>
      <c r="W21" s="14">
        <v>0</v>
      </c>
    </row>
    <row r="22" spans="4:23" ht="12.75">
      <c r="D22" s="8">
        <v>14</v>
      </c>
      <c r="E22" s="9">
        <v>7</v>
      </c>
      <c r="F22" s="9">
        <v>15</v>
      </c>
      <c r="G22" s="9">
        <v>1</v>
      </c>
      <c r="H22" s="10" t="str">
        <f t="shared" si="0"/>
        <v>D_5</v>
      </c>
      <c r="I22" s="10" t="str">
        <f t="shared" si="1"/>
        <v>T_5</v>
      </c>
      <c r="J22" s="11" t="str">
        <f t="shared" si="2"/>
        <v>T_5</v>
      </c>
      <c r="K22" s="12">
        <f t="shared" si="3"/>
        <v>0</v>
      </c>
      <c r="M22" s="8">
        <v>14</v>
      </c>
      <c r="N22" s="8" t="s">
        <v>230</v>
      </c>
      <c r="O22" s="13" t="s">
        <v>152</v>
      </c>
      <c r="P22" s="9">
        <v>7</v>
      </c>
      <c r="Q22" s="38">
        <f t="shared" si="4"/>
        <v>0.5</v>
      </c>
      <c r="R22" s="12">
        <f t="shared" si="5"/>
        <v>0.5</v>
      </c>
      <c r="S22" s="38">
        <f t="shared" si="6"/>
        <v>7</v>
      </c>
      <c r="T22" s="14"/>
      <c r="U22" s="10">
        <f t="shared" si="7"/>
      </c>
      <c r="V22" s="14">
        <v>0</v>
      </c>
      <c r="W22" s="14">
        <v>0</v>
      </c>
    </row>
    <row r="23" spans="4:23" ht="12.75">
      <c r="D23" s="8">
        <v>15</v>
      </c>
      <c r="E23" s="9">
        <v>8</v>
      </c>
      <c r="F23" s="9">
        <v>16</v>
      </c>
      <c r="G23" s="9">
        <v>0.5</v>
      </c>
      <c r="H23" s="10" t="str">
        <f t="shared" si="0"/>
        <v>C_3</v>
      </c>
      <c r="I23" s="10" t="str">
        <f t="shared" si="1"/>
        <v>T_6</v>
      </c>
      <c r="J23" s="11" t="str">
        <f t="shared" si="2"/>
        <v>T_6</v>
      </c>
      <c r="K23" s="12">
        <f t="shared" si="3"/>
        <v>0.15</v>
      </c>
      <c r="M23" s="8">
        <v>15</v>
      </c>
      <c r="N23" s="8" t="s">
        <v>231</v>
      </c>
      <c r="O23" s="13" t="s">
        <v>152</v>
      </c>
      <c r="P23" s="9">
        <v>2</v>
      </c>
      <c r="Q23" s="38">
        <f t="shared" si="4"/>
        <v>0</v>
      </c>
      <c r="R23" s="12">
        <f t="shared" si="5"/>
        <v>0</v>
      </c>
      <c r="S23" s="38">
        <f t="shared" si="6"/>
        <v>2</v>
      </c>
      <c r="T23" s="14"/>
      <c r="U23" s="10">
        <f t="shared" si="7"/>
      </c>
      <c r="V23" s="14">
        <v>0</v>
      </c>
      <c r="W23" s="14">
        <v>0</v>
      </c>
    </row>
    <row r="24" spans="4:23" ht="12.75">
      <c r="D24" s="8">
        <v>16</v>
      </c>
      <c r="E24" s="9">
        <v>8</v>
      </c>
      <c r="F24" s="9">
        <v>17</v>
      </c>
      <c r="G24" s="9">
        <v>0.5</v>
      </c>
      <c r="H24" s="10" t="str">
        <f t="shared" si="0"/>
        <v>C_3</v>
      </c>
      <c r="I24" s="10" t="str">
        <f t="shared" si="1"/>
        <v>T_7</v>
      </c>
      <c r="J24" s="11" t="str">
        <f t="shared" si="2"/>
        <v>T_7</v>
      </c>
      <c r="K24" s="12">
        <f t="shared" si="3"/>
        <v>0.05</v>
      </c>
      <c r="M24" s="8">
        <v>16</v>
      </c>
      <c r="N24" s="8" t="s">
        <v>232</v>
      </c>
      <c r="O24" s="13" t="s">
        <v>152</v>
      </c>
      <c r="P24" s="9">
        <v>5</v>
      </c>
      <c r="Q24" s="38">
        <f t="shared" si="4"/>
        <v>0.3</v>
      </c>
      <c r="R24" s="12">
        <f t="shared" si="5"/>
        <v>0.3</v>
      </c>
      <c r="S24" s="38">
        <f t="shared" si="6"/>
        <v>5</v>
      </c>
      <c r="T24" s="14"/>
      <c r="U24" s="10">
        <f t="shared" si="7"/>
      </c>
      <c r="V24" s="14">
        <v>0</v>
      </c>
      <c r="W24" s="14">
        <v>0</v>
      </c>
    </row>
    <row r="25" spans="4:23" ht="12.75">
      <c r="D25" s="8">
        <v>17</v>
      </c>
      <c r="E25" s="9">
        <v>9</v>
      </c>
      <c r="F25" s="9">
        <v>18</v>
      </c>
      <c r="G25" s="9">
        <v>0.6000000238418579</v>
      </c>
      <c r="H25" s="10" t="str">
        <f t="shared" si="0"/>
        <v>C_4</v>
      </c>
      <c r="I25" s="10" t="str">
        <f t="shared" si="1"/>
        <v>T_8</v>
      </c>
      <c r="J25" s="11" t="str">
        <f t="shared" si="2"/>
        <v>T_8</v>
      </c>
      <c r="K25" s="12">
        <f t="shared" si="3"/>
        <v>0</v>
      </c>
      <c r="M25" s="8">
        <v>17</v>
      </c>
      <c r="N25" s="8" t="s">
        <v>233</v>
      </c>
      <c r="O25" s="13" t="s">
        <v>152</v>
      </c>
      <c r="P25" s="9">
        <v>3</v>
      </c>
      <c r="Q25" s="38">
        <f t="shared" si="4"/>
        <v>0.1</v>
      </c>
      <c r="R25" s="12">
        <f t="shared" si="5"/>
        <v>0.1</v>
      </c>
      <c r="S25" s="38">
        <f t="shared" si="6"/>
        <v>3</v>
      </c>
      <c r="T25" s="14"/>
      <c r="U25" s="10">
        <f t="shared" si="7"/>
      </c>
      <c r="V25" s="14">
        <v>0</v>
      </c>
      <c r="W25" s="14">
        <v>0</v>
      </c>
    </row>
    <row r="26" spans="4:23" ht="12.75">
      <c r="D26" s="8">
        <v>18</v>
      </c>
      <c r="E26" s="9">
        <v>9</v>
      </c>
      <c r="F26" s="9">
        <v>19</v>
      </c>
      <c r="G26" s="9">
        <v>0.3999999761581421</v>
      </c>
      <c r="H26" s="10" t="str">
        <f t="shared" si="0"/>
        <v>C_4</v>
      </c>
      <c r="I26" s="10" t="str">
        <f t="shared" si="1"/>
        <v>T_9</v>
      </c>
      <c r="J26" s="11" t="str">
        <f t="shared" si="2"/>
        <v>T_9</v>
      </c>
      <c r="K26" s="12">
        <f t="shared" si="3"/>
        <v>0.07999999523162843</v>
      </c>
      <c r="M26" s="8">
        <v>18</v>
      </c>
      <c r="N26" s="8" t="s">
        <v>234</v>
      </c>
      <c r="O26" s="13" t="s">
        <v>152</v>
      </c>
      <c r="P26" s="9">
        <v>2</v>
      </c>
      <c r="Q26" s="38">
        <f t="shared" si="4"/>
        <v>0</v>
      </c>
      <c r="R26" s="12">
        <f t="shared" si="5"/>
        <v>0</v>
      </c>
      <c r="S26" s="38">
        <f t="shared" si="6"/>
        <v>2</v>
      </c>
      <c r="T26" s="14"/>
      <c r="U26" s="10">
        <f t="shared" si="7"/>
      </c>
      <c r="V26" s="14">
        <v>0</v>
      </c>
      <c r="W26" s="14">
        <v>0</v>
      </c>
    </row>
    <row r="27" spans="4:23" ht="12.75">
      <c r="D27" s="8">
        <v>19</v>
      </c>
      <c r="E27" s="9">
        <v>10</v>
      </c>
      <c r="F27" s="9">
        <v>20</v>
      </c>
      <c r="G27" s="9">
        <v>1</v>
      </c>
      <c r="H27" s="10" t="str">
        <f t="shared" si="0"/>
        <v>C_5</v>
      </c>
      <c r="I27" s="10" t="str">
        <f t="shared" si="1"/>
        <v>T_10</v>
      </c>
      <c r="J27" s="11" t="str">
        <f t="shared" si="2"/>
        <v>T_10</v>
      </c>
      <c r="K27" s="12">
        <f t="shared" si="3"/>
        <v>0</v>
      </c>
      <c r="M27" s="8">
        <v>19</v>
      </c>
      <c r="N27" s="8" t="s">
        <v>104</v>
      </c>
      <c r="O27" s="13" t="s">
        <v>152</v>
      </c>
      <c r="P27" s="9">
        <v>4</v>
      </c>
      <c r="Q27" s="38">
        <f t="shared" si="4"/>
        <v>0.2</v>
      </c>
      <c r="R27" s="12">
        <f t="shared" si="5"/>
        <v>0.2</v>
      </c>
      <c r="S27" s="38">
        <f t="shared" si="6"/>
        <v>4</v>
      </c>
      <c r="T27" s="14"/>
      <c r="U27" s="10">
        <f t="shared" si="7"/>
      </c>
      <c r="V27" s="14">
        <v>0</v>
      </c>
      <c r="W27" s="14">
        <v>0</v>
      </c>
    </row>
    <row r="28" spans="13:23" ht="12.75">
      <c r="M28" s="8">
        <v>20</v>
      </c>
      <c r="N28" s="8" t="s">
        <v>94</v>
      </c>
      <c r="O28" s="13" t="s">
        <v>152</v>
      </c>
      <c r="P28" s="9">
        <v>3</v>
      </c>
      <c r="Q28" s="38">
        <v>0</v>
      </c>
      <c r="R28" s="12">
        <f t="shared" si="5"/>
        <v>0</v>
      </c>
      <c r="S28" s="38">
        <f t="shared" si="6"/>
        <v>2</v>
      </c>
      <c r="T28" s="14"/>
      <c r="U28" s="10">
        <f t="shared" si="7"/>
      </c>
      <c r="V28" s="14">
        <v>0</v>
      </c>
      <c r="W28" s="1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4"/>
  <sheetViews>
    <sheetView showFormulas="1" showGridLines="0" workbookViewId="0" topLeftCell="A1">
      <selection activeCell="A1" sqref="A1"/>
    </sheetView>
  </sheetViews>
  <sheetFormatPr defaultColWidth="11.00390625" defaultRowHeight="12"/>
  <cols>
    <col min="1" max="17" width="6.875" style="0" customWidth="1"/>
    <col min="18" max="20" width="10.00390625" style="0" customWidth="1"/>
    <col min="21" max="16384" width="6.875" style="0" customWidth="1"/>
  </cols>
  <sheetData>
    <row r="1" spans="1:20" ht="15">
      <c r="A1" s="1" t="s">
        <v>111</v>
      </c>
      <c r="E1" s="2" t="s">
        <v>112</v>
      </c>
      <c r="F1" s="4" t="s">
        <v>90</v>
      </c>
      <c r="H1" s="2" t="s">
        <v>127</v>
      </c>
      <c r="I1" s="5" t="s">
        <v>128</v>
      </c>
      <c r="K1" s="2" t="s">
        <v>132</v>
      </c>
      <c r="L1" s="5" t="s">
        <v>130</v>
      </c>
      <c r="N1" s="2" t="s">
        <v>137</v>
      </c>
      <c r="O1" s="5" t="s">
        <v>180</v>
      </c>
      <c r="P1" s="18" t="s">
        <v>181</v>
      </c>
      <c r="Q1" s="3" t="s">
        <v>184</v>
      </c>
      <c r="R1" s="3" t="s">
        <v>185</v>
      </c>
      <c r="S1" s="3" t="s">
        <v>186</v>
      </c>
      <c r="T1" s="3" t="s">
        <v>187</v>
      </c>
    </row>
    <row r="2" spans="5:20" ht="12.75">
      <c r="E2" s="2" t="s">
        <v>114</v>
      </c>
      <c r="F2" s="5" t="s">
        <v>122</v>
      </c>
      <c r="H2" s="2" t="s">
        <v>129</v>
      </c>
      <c r="I2" s="5" t="s">
        <v>130</v>
      </c>
      <c r="K2" s="2" t="s">
        <v>133</v>
      </c>
      <c r="L2" s="5" t="s">
        <v>130</v>
      </c>
      <c r="N2" s="2" t="s">
        <v>139</v>
      </c>
      <c r="O2" s="5" t="s">
        <v>128</v>
      </c>
      <c r="P2" s="3"/>
      <c r="Q2" s="39">
        <v>10000</v>
      </c>
      <c r="R2" s="40">
        <v>1000</v>
      </c>
      <c r="S2" s="40">
        <v>10000</v>
      </c>
      <c r="T2" s="40">
        <f>IF(Dec2_Util_Max&gt;0,1-EXP(-(Dec2_Util_Max-Dec2_Util_Min)/Dec2_Util_Param),1)</f>
        <v>0.5934303402594009</v>
      </c>
    </row>
    <row r="3" spans="2:19" ht="12.75">
      <c r="B3" s="67" t="s">
        <v>159</v>
      </c>
      <c r="E3" s="2" t="s">
        <v>123</v>
      </c>
      <c r="F3" s="5" t="s">
        <v>124</v>
      </c>
      <c r="H3" s="2" t="s">
        <v>218</v>
      </c>
      <c r="I3" s="5" t="s">
        <v>128</v>
      </c>
      <c r="K3" s="2" t="s">
        <v>134</v>
      </c>
      <c r="L3" s="5" t="s">
        <v>130</v>
      </c>
      <c r="P3" s="3"/>
      <c r="Q3" s="3" t="s">
        <v>155</v>
      </c>
      <c r="R3" s="3" t="s">
        <v>188</v>
      </c>
      <c r="S3" t="s">
        <v>189</v>
      </c>
    </row>
    <row r="4" spans="5:21" ht="12.75">
      <c r="E4" s="2" t="s">
        <v>125</v>
      </c>
      <c r="F4" s="5" t="s">
        <v>126</v>
      </c>
      <c r="K4" s="2" t="s">
        <v>135</v>
      </c>
      <c r="L4" s="5" t="s">
        <v>128</v>
      </c>
      <c r="P4" s="3"/>
      <c r="Q4" s="39">
        <v>5500</v>
      </c>
      <c r="R4" s="40">
        <f>(1-EXP(-(Q4-Dec2_Util_Min)/Dec2_Util_Param))/Dec2_Util_Norm</f>
        <v>0.6106392339492219</v>
      </c>
      <c r="S4" s="21">
        <f>Dec2_Util_Min+-Dec2_Util_Param*LN(1-R4*Dec2_Util_Norm)</f>
        <v>5500</v>
      </c>
      <c r="U4" s="67" t="s">
        <v>190</v>
      </c>
    </row>
    <row r="5" spans="2:12" ht="12.75">
      <c r="B5" s="67" t="s">
        <v>160</v>
      </c>
      <c r="K5" s="2" t="s">
        <v>136</v>
      </c>
      <c r="L5" s="5" t="s">
        <v>128</v>
      </c>
    </row>
    <row r="6" spans="4:14" ht="12.75">
      <c r="D6" s="7" t="s">
        <v>140</v>
      </c>
      <c r="N6" s="7" t="s">
        <v>149</v>
      </c>
    </row>
    <row r="7" spans="2:23" ht="12.75">
      <c r="B7" s="67" t="s">
        <v>161</v>
      </c>
      <c r="C7" s="3"/>
      <c r="D7" s="3" t="s">
        <v>141</v>
      </c>
      <c r="E7" s="3" t="s">
        <v>143</v>
      </c>
      <c r="F7" s="3" t="s">
        <v>144</v>
      </c>
      <c r="G7" s="3" t="s">
        <v>141</v>
      </c>
      <c r="H7" s="3" t="s">
        <v>143</v>
      </c>
      <c r="I7" s="3" t="s">
        <v>144</v>
      </c>
      <c r="J7" s="3" t="s">
        <v>141</v>
      </c>
      <c r="K7" s="3" t="s">
        <v>141</v>
      </c>
      <c r="M7" s="3" t="s">
        <v>150</v>
      </c>
      <c r="N7" s="3" t="s">
        <v>150</v>
      </c>
      <c r="O7" s="3" t="s">
        <v>150</v>
      </c>
      <c r="P7" s="3" t="s">
        <v>150</v>
      </c>
      <c r="Q7" s="3" t="s">
        <v>150</v>
      </c>
      <c r="R7" s="3" t="s">
        <v>154</v>
      </c>
      <c r="S7" s="3" t="s">
        <v>182</v>
      </c>
      <c r="T7" s="3" t="s">
        <v>154</v>
      </c>
      <c r="U7" s="3" t="s">
        <v>154</v>
      </c>
      <c r="V7" s="3" t="s">
        <v>150</v>
      </c>
      <c r="W7" s="3" t="s">
        <v>150</v>
      </c>
    </row>
    <row r="8" spans="3:23" ht="12.75">
      <c r="C8" s="3"/>
      <c r="D8" s="3" t="s">
        <v>142</v>
      </c>
      <c r="E8" s="3" t="s">
        <v>142</v>
      </c>
      <c r="F8" s="3" t="s">
        <v>142</v>
      </c>
      <c r="G8" s="3" t="s">
        <v>146</v>
      </c>
      <c r="H8" s="3" t="s">
        <v>147</v>
      </c>
      <c r="I8" s="3" t="s">
        <v>147</v>
      </c>
      <c r="J8" s="3" t="s">
        <v>147</v>
      </c>
      <c r="K8" s="3" t="s">
        <v>181</v>
      </c>
      <c r="M8" s="3" t="s">
        <v>142</v>
      </c>
      <c r="N8" s="3" t="s">
        <v>147</v>
      </c>
      <c r="O8" s="3" t="s">
        <v>151</v>
      </c>
      <c r="P8" s="3" t="s">
        <v>155</v>
      </c>
      <c r="Q8" s="3" t="s">
        <v>181</v>
      </c>
      <c r="R8" s="3" t="s">
        <v>181</v>
      </c>
      <c r="S8" s="3" t="s">
        <v>183</v>
      </c>
      <c r="T8" s="3" t="s">
        <v>141</v>
      </c>
      <c r="U8" s="3" t="s">
        <v>156</v>
      </c>
      <c r="V8" s="3" t="s">
        <v>157</v>
      </c>
      <c r="W8" s="3" t="s">
        <v>158</v>
      </c>
    </row>
    <row r="9" spans="2:23" ht="12.75">
      <c r="B9" s="67" t="s">
        <v>162</v>
      </c>
      <c r="D9" s="8">
        <v>1</v>
      </c>
      <c r="E9" s="9">
        <v>1</v>
      </c>
      <c r="F9" s="9">
        <v>2</v>
      </c>
      <c r="G9" s="9">
        <v>1</v>
      </c>
      <c r="H9" s="10" t="str">
        <f>LOOKUP(Dec2_From,Dec2_Nodes,Dec2_Node_Name)</f>
        <v>D_1</v>
      </c>
      <c r="I9" s="10" t="str">
        <f>LOOKUP(Dec2_To,Dec2_Nodes,Dec2_Node_Name)</f>
        <v>C_1</v>
      </c>
      <c r="J9" s="11" t="str">
        <f>I9</f>
        <v>C_1</v>
      </c>
      <c r="K9" s="12">
        <f>Dec2_Prob*(LOOKUP(Dec2_To,Dec2_Nodes,Dec2_Node_Value))</f>
        <v>0.5</v>
      </c>
      <c r="M9" s="8">
        <v>1</v>
      </c>
      <c r="N9" s="8" t="s">
        <v>213</v>
      </c>
      <c r="O9" s="13" t="s">
        <v>153</v>
      </c>
      <c r="P9" s="9">
        <v>0</v>
      </c>
      <c r="Q9" s="38">
        <f>IF(Dec2_Node_Type="T",(1-EXP(-(P9-Dec2_Util_Min)/Dec2_Util_Param))/Dec2_Util_Norm,"")</f>
      </c>
      <c r="R9" s="12">
        <f>IF(Dec2_Node_Type="D",[3]!MaxIF(Dec2_From,M9,Dec2_Total),IF(Dec2_Node_Type="C",SUMIF(Dec2_From,M9,Dec2_Total),Dec2_Node_Utility))</f>
        <v>0.5</v>
      </c>
      <c r="S9" s="38">
        <f>Dec2_Util_Min+-Dec2_Util_Param*LN(1-R9*Dec2_Util_Norm)</f>
        <v>4519.933058278574</v>
      </c>
      <c r="T9" s="12">
        <f>IF(Dec2_Node_Type="D",[3]!MatchIF(Dec2_From,M9,Dec2_Total,R9),"")</f>
        <v>1</v>
      </c>
      <c r="U9" s="10" t="str">
        <f>IF(Dec2_Node_Type="D",LOOKUP(T9,Dec2_Arcs,Dec2_Arc_Name),"")</f>
        <v>C_1</v>
      </c>
      <c r="V9" s="14">
        <v>0</v>
      </c>
      <c r="W9" s="14">
        <v>0</v>
      </c>
    </row>
    <row r="10" spans="4:23" ht="12.75">
      <c r="D10" s="8">
        <v>2</v>
      </c>
      <c r="E10" s="9">
        <v>1</v>
      </c>
      <c r="F10" s="9">
        <v>3</v>
      </c>
      <c r="G10" s="9">
        <v>1</v>
      </c>
      <c r="H10" s="10" t="str">
        <f>LOOKUP(Dec2_From,Dec2_Nodes,Dec2_Node_Name)</f>
        <v>D_1</v>
      </c>
      <c r="I10" s="10" t="str">
        <f>LOOKUP(Dec2_To,Dec2_Nodes,Dec2_Node_Name)</f>
        <v>T_1</v>
      </c>
      <c r="J10" s="11" t="str">
        <f>I10</f>
        <v>T_1</v>
      </c>
      <c r="K10" s="12">
        <f>Dec2_Prob*(LOOKUP(Dec2_To,Dec2_Nodes,Dec2_Node_Value))</f>
        <v>-0.17722538087566486</v>
      </c>
      <c r="M10" s="8">
        <v>2</v>
      </c>
      <c r="N10" s="8" t="s">
        <v>214</v>
      </c>
      <c r="O10" s="13" t="s">
        <v>166</v>
      </c>
      <c r="P10" s="9">
        <v>0</v>
      </c>
      <c r="Q10" s="38">
        <f>IF(Dec2_Node_Type="T",(1-EXP(-(P10-Dec2_Util_Min)/Dec2_Util_Param))/Dec2_Util_Norm,"")</f>
      </c>
      <c r="R10" s="12">
        <f>IF(Dec2_Node_Type="D",[3]!MaxIF(Dec2_From,M10,Dec2_Total),IF(Dec2_Node_Type="C",SUMIF(Dec2_From,M10,Dec2_Total),Dec2_Node_Utility))</f>
        <v>0.5</v>
      </c>
      <c r="S10" s="38">
        <f>Dec2_Util_Min+-Dec2_Util_Param*LN(1-R10*Dec2_Util_Norm)</f>
        <v>4519.933058278574</v>
      </c>
      <c r="T10" s="12">
        <f>IF(Dec2_Node_Type="D",[3]!MatchIF(Dec2_From,M10,Dec2_Total,R10),"")</f>
      </c>
      <c r="U10" s="10">
        <f>IF(Dec2_Node_Type="D",LOOKUP(T10,Dec2_Arcs,Dec2_Arc_Name),"")</f>
      </c>
      <c r="V10" s="14">
        <v>1</v>
      </c>
      <c r="W10" s="14">
        <v>0</v>
      </c>
    </row>
    <row r="11" spans="2:23" ht="12.75">
      <c r="B11" s="67" t="s">
        <v>163</v>
      </c>
      <c r="D11" s="8">
        <v>3</v>
      </c>
      <c r="E11" s="9">
        <v>2</v>
      </c>
      <c r="F11" s="9">
        <v>4</v>
      </c>
      <c r="G11" s="9">
        <v>0.5</v>
      </c>
      <c r="H11" s="10" t="str">
        <f>LOOKUP(Dec2_From,Dec2_Nodes,Dec2_Node_Name)</f>
        <v>C_1</v>
      </c>
      <c r="I11" s="10" t="str">
        <f>LOOKUP(Dec2_To,Dec2_Nodes,Dec2_Node_Name)</f>
        <v>T_2</v>
      </c>
      <c r="J11" s="11" t="str">
        <f>I11</f>
        <v>T_2</v>
      </c>
      <c r="K11" s="12">
        <f>Dec2_Prob*(LOOKUP(Dec2_To,Dec2_Nodes,Dec2_Node_Value))</f>
        <v>0</v>
      </c>
      <c r="M11" s="8">
        <v>3</v>
      </c>
      <c r="N11" s="8" t="s">
        <v>227</v>
      </c>
      <c r="O11" s="13" t="s">
        <v>152</v>
      </c>
      <c r="P11" s="9">
        <v>0</v>
      </c>
      <c r="Q11" s="38">
        <f>IF(Dec2_Node_Type="T",(1-EXP(-(P11-Dec2_Util_Min)/Dec2_Util_Param))/Dec2_Util_Norm,"")</f>
        <v>-0.17722538087566486</v>
      </c>
      <c r="R11" s="12">
        <f>IF(Dec2_Node_Type="D",[3]!MaxIF(Dec2_From,M11,Dec2_Total),IF(Dec2_Node_Type="C",SUMIF(Dec2_From,M11,Dec2_Total),Dec2_Node_Utility))</f>
        <v>-0.17722538087566486</v>
      </c>
      <c r="S11" s="38">
        <f>Dec2_Util_Min+-Dec2_Util_Param*LN(1-R11*Dec2_Util_Norm)</f>
        <v>-7.958078640513122E-13</v>
      </c>
      <c r="T11" s="12">
        <f>IF(Dec2_Node_Type="D",[3]!MatchIF(Dec2_From,M11,Dec2_Total,R11),"")</f>
      </c>
      <c r="U11" s="10">
        <f>IF(Dec2_Node_Type="D",LOOKUP(T11,Dec2_Arcs,Dec2_Arc_Name),"")</f>
      </c>
      <c r="V11" s="14">
        <v>1</v>
      </c>
      <c r="W11" s="14">
        <v>0</v>
      </c>
    </row>
    <row r="12" spans="4:23" ht="12.75">
      <c r="D12" s="8">
        <v>4</v>
      </c>
      <c r="E12" s="9">
        <v>2</v>
      </c>
      <c r="F12" s="9">
        <v>5</v>
      </c>
      <c r="G12" s="9">
        <v>0.5</v>
      </c>
      <c r="H12" s="10" t="str">
        <f>LOOKUP(Dec2_From,Dec2_Nodes,Dec2_Node_Name)</f>
        <v>C_1</v>
      </c>
      <c r="I12" s="10" t="str">
        <f>LOOKUP(Dec2_To,Dec2_Nodes,Dec2_Node_Name)</f>
        <v>T_3</v>
      </c>
      <c r="J12" s="11" t="str">
        <f>I12</f>
        <v>T_3</v>
      </c>
      <c r="K12" s="12">
        <f>Dec2_Prob*(LOOKUP(Dec2_To,Dec2_Nodes,Dec2_Node_Value))</f>
        <v>0.5</v>
      </c>
      <c r="M12" s="8">
        <v>4</v>
      </c>
      <c r="N12" s="8" t="s">
        <v>228</v>
      </c>
      <c r="O12" s="13" t="s">
        <v>152</v>
      </c>
      <c r="P12" s="9">
        <v>1000</v>
      </c>
      <c r="Q12" s="38">
        <f>IF(Dec2_Node_Type="T",(1-EXP(-(P12-Dec2_Util_Min)/Dec2_Util_Param))/Dec2_Util_Norm,"")</f>
        <v>0</v>
      </c>
      <c r="R12" s="12">
        <f>IF(Dec2_Node_Type="D",[3]!MaxIF(Dec2_From,M12,Dec2_Total),IF(Dec2_Node_Type="C",SUMIF(Dec2_From,M12,Dec2_Total),Dec2_Node_Utility))</f>
        <v>0</v>
      </c>
      <c r="S12" s="38">
        <f>Dec2_Util_Min+-Dec2_Util_Param*LN(1-R12*Dec2_Util_Norm)</f>
        <v>1000</v>
      </c>
      <c r="T12" s="12">
        <f>IF(Dec2_Node_Type="D",[3]!MatchIF(Dec2_From,M12,Dec2_Total,R12),"")</f>
      </c>
      <c r="U12" s="10">
        <f>IF(Dec2_Node_Type="D",LOOKUP(T12,Dec2_Arcs,Dec2_Arc_Name),"")</f>
      </c>
      <c r="V12" s="14">
        <v>2</v>
      </c>
      <c r="W12" s="14">
        <v>0</v>
      </c>
    </row>
    <row r="13" spans="13:23" ht="12.75">
      <c r="M13" s="8">
        <v>5</v>
      </c>
      <c r="N13" s="8" t="s">
        <v>229</v>
      </c>
      <c r="O13" s="13" t="s">
        <v>152</v>
      </c>
      <c r="P13" s="9">
        <v>10000</v>
      </c>
      <c r="Q13" s="38">
        <f>IF(Dec2_Node_Type="T",(1-EXP(-(P13-Dec2_Util_Min)/Dec2_Util_Param))/Dec2_Util_Norm,"")</f>
        <v>1</v>
      </c>
      <c r="R13" s="12">
        <f>IF(Dec2_Node_Type="D",[3]!MaxIF(Dec2_From,M13,Dec2_Total),IF(Dec2_Node_Type="C",SUMIF(Dec2_From,M13,Dec2_Total),Dec2_Node_Utility))</f>
        <v>1</v>
      </c>
      <c r="S13" s="38">
        <f>Dec2_Util_Min+-Dec2_Util_Param*LN(1-R13*Dec2_Util_Norm)</f>
        <v>10000</v>
      </c>
      <c r="T13" s="12">
        <f>IF(Dec2_Node_Type="D",[3]!MatchIF(Dec2_From,M13,Dec2_Total,R13),"")</f>
      </c>
      <c r="U13" s="10">
        <f>IF(Dec2_Node_Type="D",LOOKUP(T13,Dec2_Arcs,Dec2_Arc_Name),"")</f>
      </c>
      <c r="V13" s="14">
        <v>2</v>
      </c>
      <c r="W13" s="14">
        <v>0</v>
      </c>
    </row>
    <row r="15" spans="17:19" ht="12.75">
      <c r="Q15" s="3"/>
      <c r="R15" s="3" t="s">
        <v>92</v>
      </c>
      <c r="S15" s="3" t="s">
        <v>91</v>
      </c>
    </row>
    <row r="16" spans="17:19" ht="12.75">
      <c r="Q16">
        <v>1000</v>
      </c>
      <c r="R16" s="40">
        <f>(1-EXP(-(Q16-Dec2_Util_Min)/Dec2_Util_Param))/Dec2_Util_Norm</f>
        <v>0</v>
      </c>
      <c r="S16" s="21">
        <f>Dec2_Util_Min+-Dec2_Util_Param*LN(1-R16*Dec2_Util_Norm)</f>
        <v>1000</v>
      </c>
    </row>
    <row r="17" spans="17:19" ht="12.75">
      <c r="Q17">
        <v>1500</v>
      </c>
      <c r="R17" s="40">
        <f aca="true" t="shared" si="0" ref="R17:R34">(1-EXP(-(Q17-Dec2_Util_Min)/Dec2_Util_Param))/Dec2_Util_Norm</f>
        <v>0.0821841624713144</v>
      </c>
      <c r="S17" s="21">
        <f aca="true" t="shared" si="1" ref="S17:S34">Dec2_Util_Min+-Dec2_Util_Param*LN(1-R17*Dec2_Util_Norm)</f>
        <v>1500</v>
      </c>
    </row>
    <row r="18" spans="17:19" ht="12.75">
      <c r="Q18">
        <v>2000</v>
      </c>
      <c r="R18" s="40">
        <f t="shared" si="0"/>
        <v>0.16036015604197607</v>
      </c>
      <c r="S18" s="21">
        <f t="shared" si="1"/>
        <v>2000.0000000000005</v>
      </c>
    </row>
    <row r="19" spans="17:19" ht="12.75">
      <c r="Q19">
        <v>2500</v>
      </c>
      <c r="R19" s="40">
        <f t="shared" si="0"/>
        <v>0.23472346141596792</v>
      </c>
      <c r="S19" s="21">
        <f t="shared" si="1"/>
        <v>2500</v>
      </c>
    </row>
    <row r="20" spans="17:19" ht="12.75">
      <c r="Q20">
        <v>3000</v>
      </c>
      <c r="R20" s="40">
        <f t="shared" si="0"/>
        <v>0.3054600255908412</v>
      </c>
      <c r="S20" s="21">
        <f t="shared" si="1"/>
        <v>3000.0000000000005</v>
      </c>
    </row>
    <row r="21" spans="17:19" ht="12.75">
      <c r="Q21">
        <v>3500</v>
      </c>
      <c r="R21" s="40">
        <f t="shared" si="0"/>
        <v>0.37274672682206356</v>
      </c>
      <c r="S21" s="21">
        <f t="shared" si="1"/>
        <v>3500</v>
      </c>
    </row>
    <row r="22" spans="17:19" ht="12.75">
      <c r="Q22">
        <v>4000</v>
      </c>
      <c r="R22" s="40">
        <f t="shared" si="0"/>
        <v>0.4367518169107908</v>
      </c>
      <c r="S22" s="21">
        <f t="shared" si="1"/>
        <v>4000</v>
      </c>
    </row>
    <row r="23" spans="17:19" ht="12.75">
      <c r="Q23">
        <v>4500</v>
      </c>
      <c r="R23" s="40">
        <f t="shared" si="0"/>
        <v>0.4976353419210071</v>
      </c>
      <c r="S23" s="21">
        <f t="shared" si="1"/>
        <v>4500</v>
      </c>
    </row>
    <row r="24" spans="17:19" ht="12.75">
      <c r="Q24">
        <v>5000</v>
      </c>
      <c r="R24" s="40">
        <f t="shared" si="0"/>
        <v>0.55554954237805</v>
      </c>
      <c r="S24" s="21">
        <f t="shared" si="1"/>
        <v>5000</v>
      </c>
    </row>
    <row r="25" spans="17:19" ht="12.75">
      <c r="Q25">
        <v>5500</v>
      </c>
      <c r="R25" s="40">
        <f t="shared" si="0"/>
        <v>0.6106392339492219</v>
      </c>
      <c r="S25" s="21">
        <f t="shared" si="1"/>
        <v>5500</v>
      </c>
    </row>
    <row r="26" spans="17:19" ht="12.75">
      <c r="Q26">
        <v>6000</v>
      </c>
      <c r="R26" s="40">
        <f t="shared" si="0"/>
        <v>0.6630421695583897</v>
      </c>
      <c r="S26" s="21">
        <f t="shared" si="1"/>
        <v>6000</v>
      </c>
    </row>
    <row r="27" spans="17:19" ht="12.75">
      <c r="Q27">
        <v>6500</v>
      </c>
      <c r="R27" s="40">
        <f t="shared" si="0"/>
        <v>0.7128893838400463</v>
      </c>
      <c r="S27" s="21">
        <f t="shared" si="1"/>
        <v>6500</v>
      </c>
    </row>
    <row r="28" spans="17:19" ht="12.75">
      <c r="Q28">
        <v>7000</v>
      </c>
      <c r="R28" s="40">
        <f t="shared" si="0"/>
        <v>0.7603055207941503</v>
      </c>
      <c r="S28" s="21">
        <f t="shared" si="1"/>
        <v>7000.000000000001</v>
      </c>
    </row>
    <row r="29" spans="17:19" ht="12.75">
      <c r="Q29">
        <v>7500</v>
      </c>
      <c r="R29" s="40">
        <f t="shared" si="0"/>
        <v>0.8054091454610496</v>
      </c>
      <c r="S29" s="21">
        <f t="shared" si="1"/>
        <v>7500</v>
      </c>
    </row>
    <row r="30" spans="17:19" ht="12.75">
      <c r="Q30">
        <v>8000</v>
      </c>
      <c r="R30" s="40">
        <f t="shared" si="0"/>
        <v>0.8483130403958404</v>
      </c>
      <c r="S30" s="21">
        <f t="shared" si="1"/>
        <v>8000</v>
      </c>
    </row>
    <row r="31" spans="17:19" ht="12.75">
      <c r="Q31">
        <v>8500</v>
      </c>
      <c r="R31" s="40">
        <f t="shared" si="0"/>
        <v>0.8891244876835007</v>
      </c>
      <c r="S31" s="21">
        <f t="shared" si="1"/>
        <v>8500</v>
      </c>
    </row>
    <row r="32" spans="17:19" ht="12.75">
      <c r="Q32">
        <v>9000</v>
      </c>
      <c r="R32" s="40">
        <f t="shared" si="0"/>
        <v>0.927945537199983</v>
      </c>
      <c r="S32" s="21">
        <f t="shared" si="1"/>
        <v>9000</v>
      </c>
    </row>
    <row r="33" spans="17:19" ht="12.75">
      <c r="Q33">
        <v>9500</v>
      </c>
      <c r="R33" s="40">
        <f t="shared" si="0"/>
        <v>0.9648732617900599</v>
      </c>
      <c r="S33" s="21">
        <f t="shared" si="1"/>
        <v>9499.999999999998</v>
      </c>
    </row>
    <row r="34" spans="17:19" ht="12.75">
      <c r="Q34">
        <v>10000</v>
      </c>
      <c r="R34" s="40">
        <f t="shared" si="0"/>
        <v>1</v>
      </c>
      <c r="S34" s="21">
        <f t="shared" si="1"/>
        <v>10000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9"/>
  <sheetViews>
    <sheetView showGridLines="0" workbookViewId="0" topLeftCell="A1">
      <selection activeCell="A1" sqref="A1"/>
    </sheetView>
  </sheetViews>
  <sheetFormatPr defaultColWidth="11.00390625" defaultRowHeight="12"/>
  <cols>
    <col min="1" max="23" width="6.875" style="0" customWidth="1"/>
    <col min="24" max="24" width="14.875" style="0" customWidth="1"/>
    <col min="25" max="25" width="13.125" style="0" customWidth="1"/>
    <col min="26" max="33" width="7.875" style="0" customWidth="1"/>
    <col min="34" max="16384" width="6.875" style="0" customWidth="1"/>
  </cols>
  <sheetData>
    <row r="1" spans="1:15" ht="15">
      <c r="A1" s="1" t="s">
        <v>111</v>
      </c>
      <c r="E1" s="2" t="s">
        <v>112</v>
      </c>
      <c r="F1" s="4" t="s">
        <v>113</v>
      </c>
      <c r="H1" s="2" t="s">
        <v>127</v>
      </c>
      <c r="I1" s="5" t="s">
        <v>130</v>
      </c>
      <c r="K1" s="2" t="s">
        <v>132</v>
      </c>
      <c r="L1" s="5" t="s">
        <v>130</v>
      </c>
      <c r="N1" s="2" t="s">
        <v>137</v>
      </c>
      <c r="O1" s="5" t="s">
        <v>138</v>
      </c>
    </row>
    <row r="2" spans="5:22" ht="12.75">
      <c r="E2" s="2" t="s">
        <v>114</v>
      </c>
      <c r="F2" s="5" t="s">
        <v>122</v>
      </c>
      <c r="H2" s="2" t="s">
        <v>129</v>
      </c>
      <c r="I2" s="5" t="s">
        <v>130</v>
      </c>
      <c r="K2" s="2" t="s">
        <v>133</v>
      </c>
      <c r="L2" s="5" t="s">
        <v>128</v>
      </c>
      <c r="N2" s="2" t="s">
        <v>139</v>
      </c>
      <c r="O2" s="5" t="s">
        <v>130</v>
      </c>
      <c r="R2" s="2" t="s">
        <v>11</v>
      </c>
      <c r="S2">
        <v>500</v>
      </c>
      <c r="U2" s="16" t="s">
        <v>15</v>
      </c>
      <c r="V2">
        <v>100</v>
      </c>
    </row>
    <row r="3" spans="2:22" ht="12.75">
      <c r="B3" s="67" t="s">
        <v>159</v>
      </c>
      <c r="E3" s="2" t="s">
        <v>123</v>
      </c>
      <c r="F3" s="5" t="s">
        <v>124</v>
      </c>
      <c r="H3" s="2" t="s">
        <v>218</v>
      </c>
      <c r="I3" s="5" t="s">
        <v>128</v>
      </c>
      <c r="K3" s="2" t="s">
        <v>134</v>
      </c>
      <c r="L3" s="5" t="s">
        <v>130</v>
      </c>
      <c r="R3" s="2" t="s">
        <v>12</v>
      </c>
      <c r="S3">
        <v>50</v>
      </c>
      <c r="U3" s="16" t="s">
        <v>16</v>
      </c>
      <c r="V3">
        <v>200</v>
      </c>
    </row>
    <row r="4" spans="5:22" ht="12.75">
      <c r="E4" s="2" t="s">
        <v>125</v>
      </c>
      <c r="F4" s="5" t="s">
        <v>10</v>
      </c>
      <c r="K4" s="2" t="s">
        <v>135</v>
      </c>
      <c r="L4" s="5" t="s">
        <v>128</v>
      </c>
      <c r="R4" s="2" t="s">
        <v>13</v>
      </c>
      <c r="S4">
        <v>70</v>
      </c>
      <c r="U4" s="16" t="s">
        <v>17</v>
      </c>
      <c r="V4">
        <v>30</v>
      </c>
    </row>
    <row r="5" spans="2:22" ht="12.75">
      <c r="B5" s="67" t="s">
        <v>160</v>
      </c>
      <c r="K5" s="2" t="s">
        <v>136</v>
      </c>
      <c r="L5" s="5" t="s">
        <v>130</v>
      </c>
      <c r="R5" s="2" t="s">
        <v>14</v>
      </c>
      <c r="S5">
        <v>80</v>
      </c>
      <c r="U5" s="16" t="s">
        <v>18</v>
      </c>
      <c r="V5">
        <v>80</v>
      </c>
    </row>
    <row r="6" spans="4:15" ht="12.75">
      <c r="D6" s="7" t="s">
        <v>140</v>
      </c>
      <c r="O6" s="7" t="s">
        <v>149</v>
      </c>
    </row>
    <row r="7" spans="2:24" ht="12.75">
      <c r="B7" s="67" t="s">
        <v>161</v>
      </c>
      <c r="C7" s="3"/>
      <c r="D7" s="3" t="s">
        <v>141</v>
      </c>
      <c r="E7" s="3" t="s">
        <v>143</v>
      </c>
      <c r="F7" s="3" t="s">
        <v>144</v>
      </c>
      <c r="G7" s="3" t="s">
        <v>141</v>
      </c>
      <c r="H7" s="3" t="s">
        <v>141</v>
      </c>
      <c r="I7" s="3" t="s">
        <v>143</v>
      </c>
      <c r="J7" s="3" t="s">
        <v>144</v>
      </c>
      <c r="K7" s="3" t="s">
        <v>141</v>
      </c>
      <c r="L7" s="3" t="s">
        <v>141</v>
      </c>
      <c r="N7" s="3" t="s">
        <v>150</v>
      </c>
      <c r="O7" s="3" t="s">
        <v>150</v>
      </c>
      <c r="P7" s="3" t="s">
        <v>150</v>
      </c>
      <c r="Q7" s="3" t="s">
        <v>150</v>
      </c>
      <c r="R7" s="3" t="s">
        <v>154</v>
      </c>
      <c r="S7" s="3" t="s">
        <v>154</v>
      </c>
      <c r="T7" s="3" t="s">
        <v>154</v>
      </c>
      <c r="U7" s="3" t="s">
        <v>150</v>
      </c>
      <c r="V7" s="3" t="s">
        <v>150</v>
      </c>
      <c r="X7" s="7" t="s">
        <v>20</v>
      </c>
    </row>
    <row r="8" spans="3:30" ht="12.75">
      <c r="C8" s="3"/>
      <c r="D8" s="3" t="s">
        <v>142</v>
      </c>
      <c r="E8" s="3" t="s">
        <v>142</v>
      </c>
      <c r="F8" s="3" t="s">
        <v>142</v>
      </c>
      <c r="G8" s="3" t="s">
        <v>145</v>
      </c>
      <c r="H8" s="3" t="s">
        <v>146</v>
      </c>
      <c r="I8" s="3" t="s">
        <v>147</v>
      </c>
      <c r="J8" s="3" t="s">
        <v>147</v>
      </c>
      <c r="K8" s="3" t="s">
        <v>147</v>
      </c>
      <c r="L8" s="3" t="s">
        <v>148</v>
      </c>
      <c r="N8" s="3" t="s">
        <v>142</v>
      </c>
      <c r="O8" s="3" t="s">
        <v>147</v>
      </c>
      <c r="P8" s="3" t="s">
        <v>151</v>
      </c>
      <c r="Q8" s="3" t="s">
        <v>145</v>
      </c>
      <c r="R8" s="3" t="s">
        <v>155</v>
      </c>
      <c r="S8" s="3" t="s">
        <v>141</v>
      </c>
      <c r="T8" s="3" t="s">
        <v>156</v>
      </c>
      <c r="U8" s="3" t="s">
        <v>157</v>
      </c>
      <c r="V8" s="3" t="s">
        <v>158</v>
      </c>
      <c r="Y8" s="17" t="s">
        <v>21</v>
      </c>
      <c r="Z8" s="3" t="s">
        <v>23</v>
      </c>
      <c r="AC8" s="19" t="s">
        <v>25</v>
      </c>
      <c r="AD8" s="19" t="s">
        <v>29</v>
      </c>
    </row>
    <row r="9" spans="2:33" ht="12.75">
      <c r="B9" s="67" t="s">
        <v>162</v>
      </c>
      <c r="D9" s="8">
        <v>1</v>
      </c>
      <c r="E9" s="9">
        <v>1</v>
      </c>
      <c r="F9" s="9">
        <v>2</v>
      </c>
      <c r="G9" s="9">
        <v>0</v>
      </c>
      <c r="H9" s="9">
        <v>1</v>
      </c>
      <c r="I9" s="10" t="str">
        <f aca="true" t="shared" si="0" ref="I9:I23">LOOKUP(Repair_From,Repair_Nodes,Repair_Node_Name)</f>
        <v>D1</v>
      </c>
      <c r="J9" s="10" t="str">
        <f aca="true" t="shared" si="1" ref="J9:J23">LOOKUP(Repair_To,Repair_Nodes,Repair_Node_Name)</f>
        <v>Repl1</v>
      </c>
      <c r="K9" s="11" t="str">
        <f aca="true" t="shared" si="2" ref="K9:K23">J9</f>
        <v>Repl1</v>
      </c>
      <c r="L9" s="12">
        <f aca="true" t="shared" si="3" ref="L9:L23">Repair_Prob*(LOOKUP(Repair_To,Repair_Nodes,Repair_Node_Value)+Repair_Arc_Value)</f>
        <v>500</v>
      </c>
      <c r="N9" s="8">
        <v>1</v>
      </c>
      <c r="O9" s="8" t="s">
        <v>54</v>
      </c>
      <c r="P9" s="13" t="s">
        <v>153</v>
      </c>
      <c r="Q9" s="9">
        <v>0</v>
      </c>
      <c r="R9" s="12">
        <f>IF(Repair_Node_Type="D",[1]!MinIF(Repair_From,N9,Repair_Total),IF(Repair_Node_Type="C",SUMIF(Repair_From,N9,Repair_Total),0))+Repair_Node_Added</f>
        <v>364.225</v>
      </c>
      <c r="S9" s="12"/>
      <c r="T9" s="10" t="e">
        <f aca="true" t="shared" si="4" ref="T9:T24">IF(Repair_Node_Type="D",LOOKUP(S9,Repair_Arcs,Repair_Arc_Name),"")</f>
        <v>#N/A</v>
      </c>
      <c r="U9" s="14">
        <v>0</v>
      </c>
      <c r="V9" s="14">
        <v>0</v>
      </c>
      <c r="Y9" s="18" t="s">
        <v>24</v>
      </c>
      <c r="Z9" s="3" t="s">
        <v>32</v>
      </c>
      <c r="AA9" s="3" t="s">
        <v>33</v>
      </c>
      <c r="AB9" s="3" t="s">
        <v>34</v>
      </c>
      <c r="AC9" s="18" t="s">
        <v>26</v>
      </c>
      <c r="AD9" s="18" t="s">
        <v>30</v>
      </c>
      <c r="AE9" s="5" t="str">
        <f>Z9</f>
        <v>x1</v>
      </c>
      <c r="AF9" s="5" t="str">
        <f>AA9</f>
        <v>x2</v>
      </c>
      <c r="AG9" s="5" t="str">
        <f>AB9</f>
        <v>x3</v>
      </c>
    </row>
    <row r="10" spans="4:33" ht="12.75">
      <c r="D10" s="8">
        <v>2</v>
      </c>
      <c r="E10" s="9">
        <v>1</v>
      </c>
      <c r="F10" s="9">
        <v>3</v>
      </c>
      <c r="G10" s="9">
        <f>$S$3</f>
        <v>50</v>
      </c>
      <c r="H10" s="9">
        <v>1</v>
      </c>
      <c r="I10" s="10" t="str">
        <f t="shared" si="0"/>
        <v>D1</v>
      </c>
      <c r="J10" s="10" t="str">
        <f t="shared" si="1"/>
        <v>X</v>
      </c>
      <c r="K10" s="11" t="str">
        <f t="shared" si="2"/>
        <v>X</v>
      </c>
      <c r="L10" s="12">
        <f t="shared" si="3"/>
        <v>364.225</v>
      </c>
      <c r="N10" s="8">
        <v>2</v>
      </c>
      <c r="O10" s="8" t="s">
        <v>164</v>
      </c>
      <c r="P10" s="13" t="s">
        <v>152</v>
      </c>
      <c r="Q10" s="9">
        <v>500</v>
      </c>
      <c r="R10" s="12">
        <f>IF(Repair_Node_Type="D",[1]!MinIF(Repair_From,N10,Repair_Total),IF(Repair_Node_Type="C",SUMIF(Repair_From,N10,Repair_Total),0))+Repair_Node_Added</f>
        <v>500</v>
      </c>
      <c r="S10" s="12"/>
      <c r="T10" s="10">
        <f t="shared" si="4"/>
      </c>
      <c r="U10" s="14">
        <v>1</v>
      </c>
      <c r="V10" s="14">
        <v>0</v>
      </c>
      <c r="X10" s="3" t="s">
        <v>22</v>
      </c>
      <c r="Y10" s="3" t="s">
        <v>6</v>
      </c>
      <c r="Z10" s="9">
        <v>0.6</v>
      </c>
      <c r="AA10" s="9">
        <v>0.2</v>
      </c>
      <c r="AB10" s="12">
        <f>1-SUM(Z10:AA10)</f>
        <v>0.19999999999999996</v>
      </c>
      <c r="AC10" s="9">
        <v>0.15</v>
      </c>
      <c r="AD10" s="5" t="str">
        <f>Y10</f>
        <v>A</v>
      </c>
      <c r="AE10" s="12">
        <f aca="true" t="shared" si="5" ref="AE10:AG14">Z10*$AC10/Z$15</f>
        <v>0.3025210084033613</v>
      </c>
      <c r="AF10" s="12">
        <f t="shared" si="5"/>
        <v>0.06282722513089005</v>
      </c>
      <c r="AG10" s="12">
        <f t="shared" si="5"/>
        <v>0.13333333333333328</v>
      </c>
    </row>
    <row r="11" spans="2:33" ht="12.75">
      <c r="B11" s="67" t="s">
        <v>163</v>
      </c>
      <c r="D11" s="8">
        <v>3</v>
      </c>
      <c r="E11" s="9">
        <v>3</v>
      </c>
      <c r="F11" s="9">
        <v>4</v>
      </c>
      <c r="G11" s="9">
        <v>0</v>
      </c>
      <c r="H11" s="9">
        <f>INDEX(Repair_Test1_Marginal,1,1)</f>
        <v>0.2975</v>
      </c>
      <c r="I11" s="10" t="str">
        <f t="shared" si="0"/>
        <v>X</v>
      </c>
      <c r="J11" s="10" t="str">
        <f t="shared" si="1"/>
        <v>D2</v>
      </c>
      <c r="K11" s="11" t="str">
        <f t="shared" si="2"/>
        <v>D2</v>
      </c>
      <c r="L11" s="12">
        <f t="shared" si="3"/>
        <v>91.575</v>
      </c>
      <c r="N11" s="8">
        <v>3</v>
      </c>
      <c r="O11" s="8" t="s">
        <v>165</v>
      </c>
      <c r="P11" s="13" t="s">
        <v>166</v>
      </c>
      <c r="Q11" s="9">
        <v>0</v>
      </c>
      <c r="R11" s="12">
        <f>IF(Repair_Node_Type="D",[1]!MinIF(Repair_From,N11,Repair_Total),IF(Repair_Node_Type="C",SUMIF(Repair_From,N11,Repair_Total),0))+Repair_Node_Added</f>
        <v>314.225</v>
      </c>
      <c r="S11" s="12"/>
      <c r="T11" s="10">
        <f t="shared" si="4"/>
      </c>
      <c r="U11" s="14">
        <v>1</v>
      </c>
      <c r="V11" s="14">
        <v>1</v>
      </c>
      <c r="Y11" s="3" t="s">
        <v>7</v>
      </c>
      <c r="Z11" s="9">
        <v>0.7</v>
      </c>
      <c r="AA11" s="9">
        <v>0.2</v>
      </c>
      <c r="AB11" s="12">
        <f>1-SUM(Z11:AA11)</f>
        <v>0.10000000000000009</v>
      </c>
      <c r="AC11" s="9">
        <v>0.2</v>
      </c>
      <c r="AD11" s="5" t="str">
        <f>Y11</f>
        <v>B</v>
      </c>
      <c r="AE11" s="12">
        <f t="shared" si="5"/>
        <v>0.47058823529411764</v>
      </c>
      <c r="AF11" s="12">
        <f t="shared" si="5"/>
        <v>0.08376963350785341</v>
      </c>
      <c r="AG11" s="12">
        <f t="shared" si="5"/>
        <v>0.08888888888888895</v>
      </c>
    </row>
    <row r="12" spans="4:33" ht="12.75">
      <c r="D12" s="8">
        <v>4</v>
      </c>
      <c r="E12" s="9">
        <v>3</v>
      </c>
      <c r="F12" s="9">
        <v>5</v>
      </c>
      <c r="G12" s="9">
        <v>0</v>
      </c>
      <c r="H12" s="9">
        <f>$AE$23</f>
        <v>0.47750000000000004</v>
      </c>
      <c r="I12" s="10" t="str">
        <f t="shared" si="0"/>
        <v>X</v>
      </c>
      <c r="J12" s="10" t="str">
        <f t="shared" si="1"/>
        <v>D3</v>
      </c>
      <c r="K12" s="11" t="str">
        <f t="shared" si="2"/>
        <v>D3</v>
      </c>
      <c r="L12" s="12">
        <f t="shared" si="3"/>
        <v>110.15000000000002</v>
      </c>
      <c r="N12" s="8">
        <v>4</v>
      </c>
      <c r="O12" s="8" t="s">
        <v>167</v>
      </c>
      <c r="P12" s="13" t="s">
        <v>153</v>
      </c>
      <c r="Q12" s="9">
        <v>0</v>
      </c>
      <c r="R12" s="12">
        <f>IF(Repair_Node_Type="D",[1]!MinIF(Repair_From,N12,Repair_Total),IF(Repair_Node_Type="C",SUMIF(Repair_From,N12,Repair_Total),0))+Repair_Node_Added</f>
        <v>307.8151260504202</v>
      </c>
      <c r="S12" s="12"/>
      <c r="T12" s="10" t="e">
        <f t="shared" si="4"/>
        <v>#N/A</v>
      </c>
      <c r="U12" s="14">
        <v>2</v>
      </c>
      <c r="V12" s="14">
        <v>0</v>
      </c>
      <c r="Y12" s="3" t="s">
        <v>166</v>
      </c>
      <c r="Z12" s="9">
        <v>0.15</v>
      </c>
      <c r="AA12" s="9">
        <v>0.55</v>
      </c>
      <c r="AB12" s="12">
        <f>1-SUM(Z12:AA12)</f>
        <v>0.29999999999999993</v>
      </c>
      <c r="AC12" s="9">
        <v>0.3</v>
      </c>
      <c r="AD12" s="5" t="str">
        <f>Y12</f>
        <v>C</v>
      </c>
      <c r="AE12" s="12">
        <f t="shared" si="5"/>
        <v>0.15126050420168066</v>
      </c>
      <c r="AF12" s="12">
        <f t="shared" si="5"/>
        <v>0.34554973821989526</v>
      </c>
      <c r="AG12" s="12">
        <f t="shared" si="5"/>
        <v>0.39999999999999986</v>
      </c>
    </row>
    <row r="13" spans="4:33" ht="12.75">
      <c r="D13" s="8">
        <v>5</v>
      </c>
      <c r="E13" s="9">
        <v>3</v>
      </c>
      <c r="F13" s="9">
        <v>6</v>
      </c>
      <c r="G13" s="9">
        <v>0</v>
      </c>
      <c r="H13" s="9">
        <f>$AE$24</f>
        <v>0.22500000000000003</v>
      </c>
      <c r="I13" s="10" t="str">
        <f t="shared" si="0"/>
        <v>X</v>
      </c>
      <c r="J13" s="10" t="str">
        <f t="shared" si="1"/>
        <v>Repl2</v>
      </c>
      <c r="K13" s="11" t="str">
        <f t="shared" si="2"/>
        <v>Repl2</v>
      </c>
      <c r="L13" s="12">
        <f t="shared" si="3"/>
        <v>112.50000000000001</v>
      </c>
      <c r="N13" s="8">
        <v>5</v>
      </c>
      <c r="O13" s="8" t="s">
        <v>168</v>
      </c>
      <c r="P13" s="13" t="s">
        <v>153</v>
      </c>
      <c r="Q13" s="9">
        <v>0</v>
      </c>
      <c r="R13" s="12">
        <f>IF(Repair_Node_Type="D",[1]!MinIF(Repair_From,N13,Repair_Total),IF(Repair_Node_Type="C",SUMIF(Repair_From,N13,Repair_Total),0))+Repair_Node_Added</f>
        <v>230.68062827225134</v>
      </c>
      <c r="S13" s="12"/>
      <c r="T13" s="10" t="e">
        <f t="shared" si="4"/>
        <v>#N/A</v>
      </c>
      <c r="U13" s="14">
        <v>2</v>
      </c>
      <c r="V13" s="14">
        <v>1</v>
      </c>
      <c r="Y13" s="3" t="s">
        <v>153</v>
      </c>
      <c r="Z13" s="9">
        <v>0.05</v>
      </c>
      <c r="AA13" s="9">
        <v>0.85</v>
      </c>
      <c r="AB13" s="12">
        <f>1-SUM(Z13:AA13)</f>
        <v>0.09999999999999998</v>
      </c>
      <c r="AC13" s="9">
        <v>0.25</v>
      </c>
      <c r="AD13" s="5" t="str">
        <f>Y13</f>
        <v>D</v>
      </c>
      <c r="AE13" s="12">
        <f t="shared" si="5"/>
        <v>0.04201680672268908</v>
      </c>
      <c r="AF13" s="12">
        <f t="shared" si="5"/>
        <v>0.4450261780104712</v>
      </c>
      <c r="AG13" s="12">
        <f t="shared" si="5"/>
        <v>0.11111111111111106</v>
      </c>
    </row>
    <row r="14" spans="4:33" ht="12.75">
      <c r="D14" s="8">
        <v>6</v>
      </c>
      <c r="E14" s="9">
        <v>4</v>
      </c>
      <c r="F14" s="9">
        <v>7</v>
      </c>
      <c r="G14" s="9">
        <v>0</v>
      </c>
      <c r="H14" s="9">
        <v>1</v>
      </c>
      <c r="I14" s="10" t="str">
        <f t="shared" si="0"/>
        <v>D2</v>
      </c>
      <c r="J14" s="10" t="str">
        <f t="shared" si="1"/>
        <v>Repl3</v>
      </c>
      <c r="K14" s="11" t="str">
        <f t="shared" si="2"/>
        <v>Repl3</v>
      </c>
      <c r="L14" s="12">
        <f t="shared" si="3"/>
        <v>500</v>
      </c>
      <c r="N14" s="8">
        <v>6</v>
      </c>
      <c r="O14" s="8" t="s">
        <v>169</v>
      </c>
      <c r="P14" s="13" t="s">
        <v>152</v>
      </c>
      <c r="Q14" s="9">
        <v>500</v>
      </c>
      <c r="R14" s="12">
        <f>IF(Repair_Node_Type="D",[1]!MinIF(Repair_From,N14,Repair_Total),IF(Repair_Node_Type="C",SUMIF(Repair_From,N14,Repair_Total),0))+Repair_Node_Added</f>
        <v>500</v>
      </c>
      <c r="S14" s="12"/>
      <c r="T14" s="10">
        <f t="shared" si="4"/>
      </c>
      <c r="U14" s="14">
        <v>2</v>
      </c>
      <c r="V14" s="14">
        <v>2</v>
      </c>
      <c r="Y14" s="3" t="s">
        <v>31</v>
      </c>
      <c r="Z14" s="9">
        <v>0.1</v>
      </c>
      <c r="AA14" s="9">
        <v>0.3</v>
      </c>
      <c r="AB14" s="12">
        <f>1-SUM(Z14:AA14)</f>
        <v>0.6</v>
      </c>
      <c r="AC14" s="20">
        <f>1-SUM(AC10:AC13)</f>
        <v>0.10000000000000009</v>
      </c>
      <c r="AD14" s="5" t="str">
        <f>Y14</f>
        <v>E</v>
      </c>
      <c r="AE14" s="12">
        <f t="shared" si="5"/>
        <v>0.033613445378151294</v>
      </c>
      <c r="AF14" s="12">
        <f t="shared" si="5"/>
        <v>0.0628272251308901</v>
      </c>
      <c r="AG14" s="12">
        <f t="shared" si="5"/>
        <v>0.2666666666666669</v>
      </c>
    </row>
    <row r="15" spans="4:28" ht="12.75">
      <c r="D15" s="8">
        <v>7</v>
      </c>
      <c r="E15" s="9">
        <v>4</v>
      </c>
      <c r="F15" s="9">
        <v>8</v>
      </c>
      <c r="G15" s="9">
        <f>$S$4</f>
        <v>70</v>
      </c>
      <c r="H15" s="9">
        <v>1</v>
      </c>
      <c r="I15" s="10" t="str">
        <f t="shared" si="0"/>
        <v>D2</v>
      </c>
      <c r="J15" s="10" t="str">
        <f t="shared" si="1"/>
        <v>Y</v>
      </c>
      <c r="K15" s="11" t="str">
        <f t="shared" si="2"/>
        <v>Y</v>
      </c>
      <c r="L15" s="12">
        <f t="shared" si="3"/>
        <v>307.8151260504202</v>
      </c>
      <c r="N15" s="8">
        <v>7</v>
      </c>
      <c r="O15" s="8" t="s">
        <v>2</v>
      </c>
      <c r="P15" s="13" t="s">
        <v>152</v>
      </c>
      <c r="Q15" s="9">
        <v>500</v>
      </c>
      <c r="R15" s="12">
        <f>IF(Repair_Node_Type="D",[1]!MinIF(Repair_From,N15,Repair_Total),IF(Repair_Node_Type="C",SUMIF(Repair_From,N15,Repair_Total),0))+Repair_Node_Added</f>
        <v>500</v>
      </c>
      <c r="S15" s="12"/>
      <c r="T15" s="10">
        <f t="shared" si="4"/>
      </c>
      <c r="U15" s="14">
        <v>3</v>
      </c>
      <c r="V15" s="14">
        <v>0</v>
      </c>
      <c r="X15" s="19" t="s">
        <v>27</v>
      </c>
      <c r="Y15" s="18" t="s">
        <v>28</v>
      </c>
      <c r="Z15" s="21">
        <f>SUMPRODUCT(Z10:Z14,$AC$10:$AC$14)</f>
        <v>0.2975</v>
      </c>
      <c r="AA15" s="21">
        <f>SUMPRODUCT(AA10:AA14,$AC$10:$AC$14)</f>
        <v>0.47750000000000004</v>
      </c>
      <c r="AB15" s="21">
        <f>SUMPRODUCT(AB10:AB14,$AC$10:$AC$14)</f>
        <v>0.22500000000000003</v>
      </c>
    </row>
    <row r="16" spans="4:22" ht="12.75">
      <c r="D16" s="8">
        <v>8</v>
      </c>
      <c r="E16" s="9">
        <v>5</v>
      </c>
      <c r="F16" s="9">
        <v>9</v>
      </c>
      <c r="G16" s="9">
        <v>0</v>
      </c>
      <c r="H16" s="9">
        <v>1</v>
      </c>
      <c r="I16" s="10" t="str">
        <f t="shared" si="0"/>
        <v>D3</v>
      </c>
      <c r="J16" s="10" t="str">
        <f t="shared" si="1"/>
        <v>Repl4</v>
      </c>
      <c r="K16" s="11" t="str">
        <f t="shared" si="2"/>
        <v>Repl4</v>
      </c>
      <c r="L16" s="12">
        <f t="shared" si="3"/>
        <v>500</v>
      </c>
      <c r="N16" s="8">
        <v>8</v>
      </c>
      <c r="O16" s="8" t="s">
        <v>3</v>
      </c>
      <c r="P16" s="13" t="s">
        <v>166</v>
      </c>
      <c r="Q16" s="9">
        <v>0</v>
      </c>
      <c r="R16" s="12">
        <f>IF(Repair_Node_Type="D",[1]!MinIF(Repair_From,N16,Repair_Total),IF(Repair_Node_Type="C",SUMIF(Repair_From,N16,Repair_Total),0))+Repair_Node_Added</f>
        <v>237.81512605042016</v>
      </c>
      <c r="S16" s="12"/>
      <c r="T16" s="10">
        <f t="shared" si="4"/>
      </c>
      <c r="U16" s="14">
        <v>3</v>
      </c>
      <c r="V16" s="14">
        <v>1</v>
      </c>
    </row>
    <row r="17" spans="4:22" ht="12.75">
      <c r="D17" s="8">
        <v>9</v>
      </c>
      <c r="E17" s="9">
        <v>5</v>
      </c>
      <c r="F17" s="9">
        <v>10</v>
      </c>
      <c r="G17" s="9">
        <f>$S$5</f>
        <v>80</v>
      </c>
      <c r="H17" s="9">
        <v>1</v>
      </c>
      <c r="I17" s="10" t="str">
        <f t="shared" si="0"/>
        <v>D3</v>
      </c>
      <c r="J17" s="10" t="str">
        <f t="shared" si="1"/>
        <v>Z</v>
      </c>
      <c r="K17" s="11" t="str">
        <f t="shared" si="2"/>
        <v>Z</v>
      </c>
      <c r="L17" s="12">
        <f t="shared" si="3"/>
        <v>230.68062827225134</v>
      </c>
      <c r="N17" s="8">
        <v>9</v>
      </c>
      <c r="O17" s="8" t="s">
        <v>4</v>
      </c>
      <c r="P17" s="13" t="s">
        <v>152</v>
      </c>
      <c r="Q17" s="9">
        <v>500</v>
      </c>
      <c r="R17" s="12">
        <f>IF(Repair_Node_Type="D",[1]!MinIF(Repair_From,N17,Repair_Total),IF(Repair_Node_Type="C",SUMIF(Repair_From,N17,Repair_Total),0))+Repair_Node_Added</f>
        <v>500</v>
      </c>
      <c r="S17" s="12"/>
      <c r="T17" s="10">
        <f t="shared" si="4"/>
      </c>
      <c r="U17" s="14">
        <v>3</v>
      </c>
      <c r="V17" s="14">
        <v>2</v>
      </c>
    </row>
    <row r="18" spans="4:22" ht="12.75">
      <c r="D18" s="8">
        <v>10</v>
      </c>
      <c r="E18" s="9">
        <v>8</v>
      </c>
      <c r="F18" s="9">
        <v>11</v>
      </c>
      <c r="G18" s="9">
        <v>0</v>
      </c>
      <c r="H18" s="9">
        <f>INDEX(Repair_Test1_Posterior,1,1)</f>
        <v>0.3025210084033613</v>
      </c>
      <c r="I18" s="10" t="str">
        <f t="shared" si="0"/>
        <v>Y</v>
      </c>
      <c r="J18" s="10" t="str">
        <f t="shared" si="1"/>
        <v>A</v>
      </c>
      <c r="K18" s="11" t="str">
        <f t="shared" si="2"/>
        <v>A</v>
      </c>
      <c r="L18" s="12">
        <f t="shared" si="3"/>
        <v>30.252100840336134</v>
      </c>
      <c r="N18" s="8">
        <v>10</v>
      </c>
      <c r="O18" s="8" t="s">
        <v>5</v>
      </c>
      <c r="P18" s="13" t="s">
        <v>166</v>
      </c>
      <c r="Q18" s="9">
        <v>0</v>
      </c>
      <c r="R18" s="12">
        <f>IF(Repair_Node_Type="D",[1]!MinIF(Repair_From,N18,Repair_Total),IF(Repair_Node_Type="C",SUMIF(Repair_From,N18,Repair_Total),0))+Repair_Node_Added</f>
        <v>150.68062827225134</v>
      </c>
      <c r="S18" s="12"/>
      <c r="T18" s="10">
        <f t="shared" si="4"/>
      </c>
      <c r="U18" s="14">
        <v>3</v>
      </c>
      <c r="V18" s="14">
        <v>3</v>
      </c>
    </row>
    <row r="19" spans="4:22" ht="12.75">
      <c r="D19" s="8">
        <v>11</v>
      </c>
      <c r="E19" s="9">
        <v>8</v>
      </c>
      <c r="F19" s="9">
        <v>12</v>
      </c>
      <c r="G19" s="9">
        <v>0</v>
      </c>
      <c r="H19" s="9">
        <f>INDEX(Repair_Test1_Posterior,1,2)</f>
        <v>0.47058823529411764</v>
      </c>
      <c r="I19" s="10" t="str">
        <f t="shared" si="0"/>
        <v>Y</v>
      </c>
      <c r="J19" s="10" t="str">
        <f t="shared" si="1"/>
        <v>B</v>
      </c>
      <c r="K19" s="11" t="str">
        <f t="shared" si="2"/>
        <v>B</v>
      </c>
      <c r="L19" s="12">
        <f t="shared" si="3"/>
        <v>94.11764705882352</v>
      </c>
      <c r="N19" s="8">
        <v>11</v>
      </c>
      <c r="O19" s="8" t="s">
        <v>6</v>
      </c>
      <c r="P19" s="13" t="s">
        <v>152</v>
      </c>
      <c r="Q19" s="9">
        <v>100</v>
      </c>
      <c r="R19" s="12">
        <f>IF(Repair_Node_Type="D",[1]!MinIF(Repair_From,N19,Repair_Total),IF(Repair_Node_Type="C",SUMIF(Repair_From,N19,Repair_Total),0))+Repair_Node_Added</f>
        <v>100</v>
      </c>
      <c r="S19" s="12"/>
      <c r="T19" s="10">
        <f t="shared" si="4"/>
      </c>
      <c r="U19" s="14">
        <v>4</v>
      </c>
      <c r="V19" s="14">
        <v>0</v>
      </c>
    </row>
    <row r="20" spans="4:31" ht="12.75">
      <c r="D20" s="8">
        <v>12</v>
      </c>
      <c r="E20" s="9">
        <v>8</v>
      </c>
      <c r="F20" s="9">
        <v>13</v>
      </c>
      <c r="G20" s="9">
        <v>0</v>
      </c>
      <c r="H20" s="9">
        <f>SUM($AB$27:$AD$27)</f>
        <v>0.22689075630252103</v>
      </c>
      <c r="I20" s="10" t="str">
        <f t="shared" si="0"/>
        <v>Y</v>
      </c>
      <c r="J20" s="10" t="str">
        <f t="shared" si="1"/>
        <v>C,D,E</v>
      </c>
      <c r="K20" s="11" t="str">
        <f t="shared" si="2"/>
        <v>C,D,E</v>
      </c>
      <c r="L20" s="12">
        <f t="shared" si="3"/>
        <v>113.44537815126051</v>
      </c>
      <c r="N20" s="8">
        <v>12</v>
      </c>
      <c r="O20" s="8" t="s">
        <v>7</v>
      </c>
      <c r="P20" s="13" t="s">
        <v>152</v>
      </c>
      <c r="Q20" s="9">
        <v>200</v>
      </c>
      <c r="R20" s="12">
        <f>IF(Repair_Node_Type="D",[1]!MinIF(Repair_From,N20,Repair_Total),IF(Repair_Node_Type="C",SUMIF(Repair_From,N20,Repair_Total),0))+Repair_Node_Added</f>
        <v>200</v>
      </c>
      <c r="S20" s="12"/>
      <c r="T20" s="10">
        <f t="shared" si="4"/>
      </c>
      <c r="U20" s="14">
        <v>4</v>
      </c>
      <c r="V20" s="14">
        <v>1</v>
      </c>
      <c r="X20" s="7" t="s">
        <v>89</v>
      </c>
      <c r="Z20" s="3" t="s">
        <v>22</v>
      </c>
      <c r="AE20" s="19" t="s">
        <v>27</v>
      </c>
    </row>
    <row r="21" spans="4:31" ht="12.75">
      <c r="D21" s="8">
        <v>13</v>
      </c>
      <c r="E21" s="9">
        <v>10</v>
      </c>
      <c r="F21" s="9">
        <v>14</v>
      </c>
      <c r="G21" s="9">
        <v>0</v>
      </c>
      <c r="H21" s="9">
        <f>INDEX(Repair_Test1_Posterior,2,3)</f>
        <v>0.34554973821989526</v>
      </c>
      <c r="I21" s="10" t="str">
        <f t="shared" si="0"/>
        <v>Z</v>
      </c>
      <c r="J21" s="10" t="str">
        <f t="shared" si="1"/>
        <v>C</v>
      </c>
      <c r="K21" s="11" t="str">
        <f t="shared" si="2"/>
        <v>C</v>
      </c>
      <c r="L21" s="12">
        <f t="shared" si="3"/>
        <v>10.366492146596858</v>
      </c>
      <c r="N21" s="8">
        <v>13</v>
      </c>
      <c r="O21" s="8" t="s">
        <v>8</v>
      </c>
      <c r="P21" s="13" t="s">
        <v>152</v>
      </c>
      <c r="Q21" s="9">
        <v>500</v>
      </c>
      <c r="R21" s="12">
        <f>IF(Repair_Node_Type="D",[1]!MinIF(Repair_From,N21,Repair_Total),IF(Repair_Node_Type="C",SUMIF(Repair_From,N21,Repair_Total),0))+Repair_Node_Added</f>
        <v>500</v>
      </c>
      <c r="S21" s="12"/>
      <c r="T21" s="10">
        <f t="shared" si="4"/>
      </c>
      <c r="U21" s="14">
        <v>4</v>
      </c>
      <c r="V21" s="14">
        <v>2</v>
      </c>
      <c r="X21" s="49" t="s">
        <v>21</v>
      </c>
      <c r="Y21" s="18" t="s">
        <v>24</v>
      </c>
      <c r="Z21" s="3" t="s">
        <v>6</v>
      </c>
      <c r="AA21" s="3" t="s">
        <v>7</v>
      </c>
      <c r="AB21" s="3" t="s">
        <v>166</v>
      </c>
      <c r="AC21" s="3" t="s">
        <v>153</v>
      </c>
      <c r="AD21" s="3" t="s">
        <v>31</v>
      </c>
      <c r="AE21" s="18" t="s">
        <v>28</v>
      </c>
    </row>
    <row r="22" spans="4:31" ht="12.75">
      <c r="D22" s="8">
        <v>14</v>
      </c>
      <c r="E22" s="9">
        <v>10</v>
      </c>
      <c r="F22" s="9">
        <v>15</v>
      </c>
      <c r="G22" s="9">
        <v>0</v>
      </c>
      <c r="H22" s="9">
        <f>INDEX(Repair_Test1_Posterior,2,4)</f>
        <v>0.4450261780104712</v>
      </c>
      <c r="I22" s="10" t="str">
        <f t="shared" si="0"/>
        <v>Z</v>
      </c>
      <c r="J22" s="10" t="str">
        <f t="shared" si="1"/>
        <v>D</v>
      </c>
      <c r="K22" s="11" t="str">
        <f t="shared" si="2"/>
        <v>D</v>
      </c>
      <c r="L22" s="12">
        <f t="shared" si="3"/>
        <v>35.602094240837694</v>
      </c>
      <c r="N22" s="8">
        <v>14</v>
      </c>
      <c r="O22" s="8" t="s">
        <v>166</v>
      </c>
      <c r="P22" s="13" t="s">
        <v>152</v>
      </c>
      <c r="Q22" s="9">
        <v>30</v>
      </c>
      <c r="R22" s="12">
        <f>IF(Repair_Node_Type="D",[1]!MinIF(Repair_From,N22,Repair_Total),IF(Repair_Node_Type="C",SUMIF(Repair_From,N22,Repair_Total),0))+Repair_Node_Added</f>
        <v>30</v>
      </c>
      <c r="S22" s="12"/>
      <c r="T22" s="10">
        <f t="shared" si="4"/>
      </c>
      <c r="U22" s="14">
        <v>4</v>
      </c>
      <c r="V22" s="14">
        <v>3</v>
      </c>
      <c r="X22" s="2" t="s">
        <v>23</v>
      </c>
      <c r="Y22" s="3" t="s">
        <v>32</v>
      </c>
      <c r="Z22" s="9">
        <v>0.6</v>
      </c>
      <c r="AA22" s="9">
        <v>0.7</v>
      </c>
      <c r="AB22" s="9">
        <v>0.15</v>
      </c>
      <c r="AC22" s="9">
        <v>0.05</v>
      </c>
      <c r="AD22" s="9">
        <v>0.1</v>
      </c>
      <c r="AE22" s="21">
        <f>SUMPRODUCT(Z22:AD22,$Z$25:$AD$25)</f>
        <v>0.2975</v>
      </c>
    </row>
    <row r="23" spans="4:31" ht="12.75">
      <c r="D23" s="8">
        <v>15</v>
      </c>
      <c r="E23" s="9">
        <v>10</v>
      </c>
      <c r="F23" s="9">
        <v>16</v>
      </c>
      <c r="G23" s="9">
        <v>0</v>
      </c>
      <c r="H23" s="9">
        <f>$Z$28+$AA$28+$AD$28</f>
        <v>0.20942408376963356</v>
      </c>
      <c r="I23" s="10" t="str">
        <f t="shared" si="0"/>
        <v>Z</v>
      </c>
      <c r="J23" s="10" t="str">
        <f t="shared" si="1"/>
        <v>A,B,E</v>
      </c>
      <c r="K23" s="11" t="str">
        <f t="shared" si="2"/>
        <v>A,B,E</v>
      </c>
      <c r="L23" s="12">
        <f t="shared" si="3"/>
        <v>104.71204188481678</v>
      </c>
      <c r="N23" s="8">
        <v>15</v>
      </c>
      <c r="O23" s="8" t="s">
        <v>153</v>
      </c>
      <c r="P23" s="13" t="s">
        <v>152</v>
      </c>
      <c r="Q23" s="9">
        <v>80</v>
      </c>
      <c r="R23" s="12">
        <f>IF(Repair_Node_Type="D",[1]!MinIF(Repair_From,N23,Repair_Total),IF(Repair_Node_Type="C",SUMIF(Repair_From,N23,Repair_Total),0))+Repair_Node_Added</f>
        <v>80</v>
      </c>
      <c r="S23" s="12"/>
      <c r="T23" s="10">
        <f t="shared" si="4"/>
      </c>
      <c r="U23" s="14">
        <v>4</v>
      </c>
      <c r="V23" s="14">
        <v>4</v>
      </c>
      <c r="X23" s="2"/>
      <c r="Y23" s="3" t="s">
        <v>33</v>
      </c>
      <c r="Z23" s="9">
        <v>0.2</v>
      </c>
      <c r="AA23" s="9">
        <v>0.2</v>
      </c>
      <c r="AB23" s="9">
        <v>0.55</v>
      </c>
      <c r="AC23" s="9">
        <v>0.85</v>
      </c>
      <c r="AD23" s="9">
        <v>0.3</v>
      </c>
      <c r="AE23" s="21">
        <f>SUMPRODUCT(Z23:AD23,$Z$25:$AD$25)</f>
        <v>0.47750000000000004</v>
      </c>
    </row>
    <row r="24" spans="14:31" ht="12.75">
      <c r="N24" s="8">
        <v>16</v>
      </c>
      <c r="O24" s="8" t="s">
        <v>9</v>
      </c>
      <c r="P24" s="13" t="s">
        <v>152</v>
      </c>
      <c r="Q24" s="9">
        <v>500</v>
      </c>
      <c r="R24" s="12">
        <f>IF(Repair_Node_Type="D",[1]!MinIF(Repair_From,N24,Repair_Total),IF(Repair_Node_Type="C",SUMIF(Repair_From,N24,Repair_Total),0))+Repair_Node_Added</f>
        <v>500</v>
      </c>
      <c r="S24" s="12"/>
      <c r="T24" s="10">
        <f t="shared" si="4"/>
      </c>
      <c r="U24" s="14">
        <v>4</v>
      </c>
      <c r="V24" s="14">
        <v>5</v>
      </c>
      <c r="X24" s="2"/>
      <c r="Y24" s="3" t="s">
        <v>34</v>
      </c>
      <c r="Z24" s="12">
        <f>1-SUM(Z22:Z23)</f>
        <v>0.19999999999999996</v>
      </c>
      <c r="AA24" s="12">
        <f>1-SUM(AA22:AA23)</f>
        <v>0.10000000000000009</v>
      </c>
      <c r="AB24" s="12">
        <f>1-SUM(AB22:AB23)</f>
        <v>0.29999999999999993</v>
      </c>
      <c r="AC24" s="12">
        <f>1-SUM(AC22:AC23)</f>
        <v>0.09999999999999998</v>
      </c>
      <c r="AD24" s="12">
        <f>1-SUM(AD22:AD23)</f>
        <v>0.6</v>
      </c>
      <c r="AE24" s="21">
        <f>SUMPRODUCT(Z24:AD24,$Z$25:$AD$25)</f>
        <v>0.22500000000000003</v>
      </c>
    </row>
    <row r="25" spans="24:30" ht="12.75">
      <c r="X25" s="49" t="s">
        <v>25</v>
      </c>
      <c r="Y25" s="18" t="s">
        <v>26</v>
      </c>
      <c r="Z25" s="9">
        <v>0.15</v>
      </c>
      <c r="AA25" s="9">
        <v>0.2</v>
      </c>
      <c r="AB25" s="9">
        <v>0.3</v>
      </c>
      <c r="AC25" s="9">
        <v>0.25</v>
      </c>
      <c r="AD25" s="20">
        <f>1-SUM(Z25:AC25)</f>
        <v>0.10000000000000009</v>
      </c>
    </row>
    <row r="26" spans="24:30" ht="12.75">
      <c r="X26" s="49" t="s">
        <v>29</v>
      </c>
      <c r="Y26" s="18" t="s">
        <v>30</v>
      </c>
      <c r="Z26" s="5" t="str">
        <f>Z21</f>
        <v>A</v>
      </c>
      <c r="AA26" s="5" t="str">
        <f>AA21</f>
        <v>B</v>
      </c>
      <c r="AB26" s="5" t="str">
        <f>AB21</f>
        <v>C</v>
      </c>
      <c r="AC26" s="5" t="str">
        <f>AC21</f>
        <v>D</v>
      </c>
      <c r="AD26" s="5" t="str">
        <f>AD21</f>
        <v>E</v>
      </c>
    </row>
    <row r="27" spans="25:30" ht="12.75">
      <c r="Y27" s="5" t="str">
        <f>Y22</f>
        <v>x1</v>
      </c>
      <c r="Z27" s="12">
        <f aca="true" t="shared" si="6" ref="Z27:AD29">Z22*Z$25/$AE22</f>
        <v>0.3025210084033613</v>
      </c>
      <c r="AA27" s="12">
        <f t="shared" si="6"/>
        <v>0.47058823529411764</v>
      </c>
      <c r="AB27" s="12">
        <f t="shared" si="6"/>
        <v>0.15126050420168066</v>
      </c>
      <c r="AC27" s="12">
        <f t="shared" si="6"/>
        <v>0.04201680672268908</v>
      </c>
      <c r="AD27" s="12">
        <f t="shared" si="6"/>
        <v>0.033613445378151294</v>
      </c>
    </row>
    <row r="28" spans="25:30" ht="12.75">
      <c r="Y28" s="5" t="str">
        <f>Y23</f>
        <v>x2</v>
      </c>
      <c r="Z28" s="12">
        <f t="shared" si="6"/>
        <v>0.06282722513089005</v>
      </c>
      <c r="AA28" s="12">
        <f t="shared" si="6"/>
        <v>0.08376963350785341</v>
      </c>
      <c r="AB28" s="12">
        <f t="shared" si="6"/>
        <v>0.34554973821989526</v>
      </c>
      <c r="AC28" s="12">
        <f t="shared" si="6"/>
        <v>0.4450261780104712</v>
      </c>
      <c r="AD28" s="12">
        <f t="shared" si="6"/>
        <v>0.0628272251308901</v>
      </c>
    </row>
    <row r="29" spans="25:30" ht="12.75">
      <c r="Y29" s="5" t="str">
        <f>Y24</f>
        <v>x3</v>
      </c>
      <c r="Z29" s="12">
        <f t="shared" si="6"/>
        <v>0.13333333333333328</v>
      </c>
      <c r="AA29" s="12">
        <f t="shared" si="6"/>
        <v>0.08888888888888895</v>
      </c>
      <c r="AB29" s="12">
        <f t="shared" si="6"/>
        <v>0.39999999999999986</v>
      </c>
      <c r="AC29" s="12">
        <f t="shared" si="6"/>
        <v>0.11111111111111106</v>
      </c>
      <c r="AD29" s="12">
        <f t="shared" si="6"/>
        <v>0.2666666666666669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showGridLines="0" workbookViewId="0" topLeftCell="A1">
      <selection activeCell="A1" sqref="A1"/>
    </sheetView>
  </sheetViews>
  <sheetFormatPr defaultColWidth="11.00390625" defaultRowHeight="12"/>
  <cols>
    <col min="1" max="3" width="8.875" style="0" customWidth="1"/>
    <col min="4" max="4" width="5.125" style="0" customWidth="1"/>
    <col min="5" max="5" width="2.875" style="0" customWidth="1"/>
    <col min="6" max="6" width="7.875" style="0" customWidth="1"/>
    <col min="7" max="8" width="6.875" style="0" customWidth="1"/>
    <col min="9" max="9" width="8.125" style="0" bestFit="1" customWidth="1"/>
    <col min="10" max="11" width="6.875" style="0" customWidth="1"/>
    <col min="12" max="12" width="7.875" style="0" customWidth="1"/>
    <col min="13" max="14" width="6.875" style="0" customWidth="1"/>
    <col min="15" max="15" width="7.875" style="0" customWidth="1"/>
    <col min="16" max="17" width="6.875" style="0" customWidth="1"/>
    <col min="18" max="18" width="7.875" style="0" customWidth="1"/>
    <col min="19" max="16384" width="6.875" style="0" customWidth="1"/>
  </cols>
  <sheetData>
    <row r="1" ht="12.75">
      <c r="A1" s="7" t="s">
        <v>35</v>
      </c>
    </row>
    <row r="3" ht="12">
      <c r="B3" s="15" t="s">
        <v>160</v>
      </c>
    </row>
    <row r="6" spans="1:18" ht="12.75">
      <c r="A6" s="3" t="s">
        <v>150</v>
      </c>
      <c r="B6" s="3" t="s">
        <v>156</v>
      </c>
      <c r="C6" s="3" t="s">
        <v>155</v>
      </c>
      <c r="F6" s="41" t="s">
        <v>55</v>
      </c>
      <c r="H6" s="3">
        <v>0</v>
      </c>
      <c r="I6" s="46" t="s">
        <v>38</v>
      </c>
      <c r="K6" s="3">
        <v>0</v>
      </c>
      <c r="L6" s="41" t="s">
        <v>41</v>
      </c>
      <c r="N6" s="3">
        <v>0</v>
      </c>
      <c r="O6" s="46" t="s">
        <v>44</v>
      </c>
      <c r="Q6" s="3">
        <v>0</v>
      </c>
      <c r="R6" s="46" t="s">
        <v>48</v>
      </c>
    </row>
    <row r="7" spans="1:18" ht="12.75">
      <c r="A7" s="36" t="s">
        <v>54</v>
      </c>
      <c r="B7" s="36" t="s">
        <v>165</v>
      </c>
      <c r="C7" s="37">
        <v>364.225</v>
      </c>
      <c r="F7" s="42">
        <v>0</v>
      </c>
      <c r="H7" s="3"/>
      <c r="I7" s="47">
        <v>500</v>
      </c>
      <c r="K7" s="3">
        <v>0.2975</v>
      </c>
      <c r="L7" s="42">
        <v>0</v>
      </c>
      <c r="N7" s="3"/>
      <c r="O7" s="47">
        <v>500</v>
      </c>
      <c r="Q7" s="3">
        <v>0.3025210084033613</v>
      </c>
      <c r="R7" s="47">
        <v>100</v>
      </c>
    </row>
    <row r="8" spans="1:17" ht="12.75">
      <c r="A8" s="36" t="s">
        <v>167</v>
      </c>
      <c r="B8" s="36" t="s">
        <v>3</v>
      </c>
      <c r="C8" s="37">
        <v>307.8151260504202</v>
      </c>
      <c r="F8" s="42">
        <v>364.225</v>
      </c>
      <c r="K8" s="3"/>
      <c r="L8" s="42">
        <v>307.8151260504202</v>
      </c>
      <c r="Q8" s="3"/>
    </row>
    <row r="9" spans="1:12" ht="12.75">
      <c r="A9" s="36" t="s">
        <v>168</v>
      </c>
      <c r="B9" s="36" t="s">
        <v>5</v>
      </c>
      <c r="C9" s="37">
        <v>230.68062827225134</v>
      </c>
      <c r="F9" s="43" t="s">
        <v>165</v>
      </c>
      <c r="L9" s="43" t="s">
        <v>3</v>
      </c>
    </row>
    <row r="12" spans="8:18" ht="12.75">
      <c r="H12" s="3">
        <v>50</v>
      </c>
      <c r="I12" s="44" t="s">
        <v>40</v>
      </c>
      <c r="K12" s="3">
        <v>0</v>
      </c>
      <c r="L12" s="41" t="s">
        <v>42</v>
      </c>
      <c r="N12" s="3">
        <v>70</v>
      </c>
      <c r="O12" s="44" t="s">
        <v>45</v>
      </c>
      <c r="Q12" s="3">
        <v>0</v>
      </c>
      <c r="R12" s="46" t="s">
        <v>49</v>
      </c>
    </row>
    <row r="13" spans="8:18" ht="12.75">
      <c r="H13" s="3"/>
      <c r="I13" s="48">
        <v>0</v>
      </c>
      <c r="K13" s="3">
        <v>0.4775</v>
      </c>
      <c r="L13" s="42">
        <v>0</v>
      </c>
      <c r="N13" s="3"/>
      <c r="O13" s="48">
        <v>0</v>
      </c>
      <c r="Q13" s="3">
        <v>0.47058823529411764</v>
      </c>
      <c r="R13" s="47">
        <v>200</v>
      </c>
    </row>
    <row r="14" spans="9:17" ht="12.75">
      <c r="I14" s="45">
        <v>314.225</v>
      </c>
      <c r="K14" s="3"/>
      <c r="L14" s="42">
        <v>230.68062827225134</v>
      </c>
      <c r="O14" s="45">
        <v>237.81512605042016</v>
      </c>
      <c r="Q14" s="3"/>
    </row>
    <row r="15" ht="12.75">
      <c r="L15" s="43" t="s">
        <v>5</v>
      </c>
    </row>
    <row r="18" spans="11:18" ht="12.75">
      <c r="K18" s="3">
        <v>0</v>
      </c>
      <c r="L18" s="46" t="s">
        <v>43</v>
      </c>
      <c r="N18" s="3">
        <v>0</v>
      </c>
      <c r="O18" s="46" t="s">
        <v>46</v>
      </c>
      <c r="Q18" s="3">
        <v>0</v>
      </c>
      <c r="R18" s="46" t="s">
        <v>50</v>
      </c>
    </row>
    <row r="19" spans="11:18" ht="12.75">
      <c r="K19" s="3">
        <v>0.225</v>
      </c>
      <c r="L19" s="47">
        <v>500</v>
      </c>
      <c r="N19" s="3"/>
      <c r="O19" s="47">
        <v>500</v>
      </c>
      <c r="Q19" s="3">
        <v>0.22689075630252103</v>
      </c>
      <c r="R19" s="47">
        <v>500</v>
      </c>
    </row>
    <row r="20" spans="11:17" ht="12.75">
      <c r="K20" s="3"/>
      <c r="Q20" s="3"/>
    </row>
    <row r="24" spans="14:18" ht="12.75">
      <c r="N24" s="3">
        <v>80</v>
      </c>
      <c r="O24" s="44" t="s">
        <v>47</v>
      </c>
      <c r="Q24" s="3">
        <v>0</v>
      </c>
      <c r="R24" s="46" t="s">
        <v>51</v>
      </c>
    </row>
    <row r="25" spans="14:18" ht="12.75">
      <c r="N25" s="3"/>
      <c r="O25" s="48">
        <v>0</v>
      </c>
      <c r="Q25" s="3">
        <v>0.34554973821989526</v>
      </c>
      <c r="R25" s="47">
        <v>30</v>
      </c>
    </row>
    <row r="26" spans="15:17" ht="12.75">
      <c r="O26" s="45">
        <v>150.68062827225134</v>
      </c>
      <c r="Q26" s="3"/>
    </row>
    <row r="30" spans="17:18" ht="12.75">
      <c r="Q30" s="3">
        <v>0</v>
      </c>
      <c r="R30" s="46" t="s">
        <v>52</v>
      </c>
    </row>
    <row r="31" spans="17:18" ht="12.75">
      <c r="Q31" s="3">
        <v>0.4450261780104712</v>
      </c>
      <c r="R31" s="47">
        <v>80</v>
      </c>
    </row>
    <row r="32" ht="12.75">
      <c r="Q32" s="3"/>
    </row>
    <row r="36" spans="17:18" ht="12.75">
      <c r="Q36" s="3">
        <v>0</v>
      </c>
      <c r="R36" s="46" t="s">
        <v>53</v>
      </c>
    </row>
    <row r="37" spans="17:18" ht="12.75">
      <c r="Q37" s="3">
        <v>0.20942408376963356</v>
      </c>
      <c r="R37" s="47">
        <v>500</v>
      </c>
    </row>
    <row r="38" ht="12.75">
      <c r="Q38" s="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"/>
  <sheetViews>
    <sheetView showGridLines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N26" sqref="N26"/>
    </sheetView>
  </sheetViews>
  <sheetFormatPr defaultColWidth="11.00390625" defaultRowHeight="12"/>
  <cols>
    <col min="1" max="16384" width="6.875" style="0" customWidth="1"/>
  </cols>
  <sheetData>
    <row r="1" spans="1:15" ht="15">
      <c r="A1" s="1" t="s">
        <v>111</v>
      </c>
      <c r="E1" s="2" t="s">
        <v>112</v>
      </c>
      <c r="F1" s="4" t="s">
        <v>56</v>
      </c>
      <c r="H1" s="2" t="s">
        <v>127</v>
      </c>
      <c r="I1" s="5" t="s">
        <v>128</v>
      </c>
      <c r="K1" s="2" t="s">
        <v>132</v>
      </c>
      <c r="L1" s="5" t="s">
        <v>130</v>
      </c>
      <c r="N1" s="2" t="s">
        <v>137</v>
      </c>
      <c r="O1" s="6" t="s">
        <v>138</v>
      </c>
    </row>
    <row r="2" spans="5:15" ht="12.75">
      <c r="E2" s="2" t="s">
        <v>114</v>
      </c>
      <c r="F2" s="5" t="s">
        <v>122</v>
      </c>
      <c r="H2" s="2" t="s">
        <v>129</v>
      </c>
      <c r="I2" s="5" t="s">
        <v>130</v>
      </c>
      <c r="K2" s="2" t="s">
        <v>133</v>
      </c>
      <c r="L2" s="5" t="s">
        <v>130</v>
      </c>
      <c r="N2" s="2" t="s">
        <v>139</v>
      </c>
      <c r="O2" s="5" t="s">
        <v>130</v>
      </c>
    </row>
    <row r="3" spans="2:12" ht="12.75">
      <c r="B3" s="67" t="s">
        <v>159</v>
      </c>
      <c r="E3" s="2" t="s">
        <v>123</v>
      </c>
      <c r="F3" s="5" t="s">
        <v>172</v>
      </c>
      <c r="H3" s="2" t="s">
        <v>131</v>
      </c>
      <c r="I3" s="5" t="s">
        <v>128</v>
      </c>
      <c r="K3" s="2" t="s">
        <v>134</v>
      </c>
      <c r="L3" s="5" t="s">
        <v>130</v>
      </c>
    </row>
    <row r="4" spans="5:12" ht="12.75">
      <c r="E4" s="2" t="s">
        <v>125</v>
      </c>
      <c r="F4" s="5" t="s">
        <v>126</v>
      </c>
      <c r="K4" s="2" t="s">
        <v>135</v>
      </c>
      <c r="L4" s="5" t="s">
        <v>128</v>
      </c>
    </row>
    <row r="5" spans="2:12" ht="12.75">
      <c r="B5" s="67" t="s">
        <v>160</v>
      </c>
      <c r="K5" s="2" t="s">
        <v>136</v>
      </c>
      <c r="L5" s="5" t="s">
        <v>128</v>
      </c>
    </row>
    <row r="6" spans="4:14" ht="12.75">
      <c r="D6" s="7" t="s">
        <v>140</v>
      </c>
      <c r="N6" s="7" t="s">
        <v>149</v>
      </c>
    </row>
    <row r="7" spans="2:21" ht="12.75">
      <c r="B7" s="67" t="s">
        <v>161</v>
      </c>
      <c r="C7" s="3"/>
      <c r="D7" s="3" t="s">
        <v>141</v>
      </c>
      <c r="E7" s="3" t="s">
        <v>143</v>
      </c>
      <c r="F7" s="3" t="s">
        <v>144</v>
      </c>
      <c r="G7" s="3" t="s">
        <v>141</v>
      </c>
      <c r="H7" s="3" t="s">
        <v>143</v>
      </c>
      <c r="I7" s="3" t="s">
        <v>144</v>
      </c>
      <c r="J7" s="3" t="s">
        <v>141</v>
      </c>
      <c r="K7" s="3" t="s">
        <v>141</v>
      </c>
      <c r="M7" s="3" t="s">
        <v>150</v>
      </c>
      <c r="N7" s="3" t="s">
        <v>150</v>
      </c>
      <c r="O7" s="3" t="s">
        <v>150</v>
      </c>
      <c r="P7" s="3" t="s">
        <v>150</v>
      </c>
      <c r="Q7" s="3" t="s">
        <v>154</v>
      </c>
      <c r="R7" s="3" t="s">
        <v>154</v>
      </c>
      <c r="S7" s="3" t="s">
        <v>154</v>
      </c>
      <c r="T7" s="3" t="s">
        <v>150</v>
      </c>
      <c r="U7" s="3" t="s">
        <v>150</v>
      </c>
    </row>
    <row r="8" spans="3:21" ht="12.75">
      <c r="C8" s="3"/>
      <c r="D8" s="3" t="s">
        <v>142</v>
      </c>
      <c r="E8" s="3" t="s">
        <v>142</v>
      </c>
      <c r="F8" s="3" t="s">
        <v>142</v>
      </c>
      <c r="G8" s="3" t="s">
        <v>146</v>
      </c>
      <c r="H8" s="3" t="s">
        <v>147</v>
      </c>
      <c r="I8" s="3" t="s">
        <v>147</v>
      </c>
      <c r="J8" s="3" t="s">
        <v>147</v>
      </c>
      <c r="K8" s="3" t="s">
        <v>148</v>
      </c>
      <c r="M8" s="3" t="s">
        <v>142</v>
      </c>
      <c r="N8" s="3" t="s">
        <v>147</v>
      </c>
      <c r="O8" s="3" t="s">
        <v>151</v>
      </c>
      <c r="P8" s="3" t="s">
        <v>155</v>
      </c>
      <c r="Q8" s="3" t="s">
        <v>155</v>
      </c>
      <c r="R8" s="3" t="s">
        <v>141</v>
      </c>
      <c r="S8" s="3" t="s">
        <v>156</v>
      </c>
      <c r="T8" s="3" t="s">
        <v>157</v>
      </c>
      <c r="U8" s="3" t="s">
        <v>158</v>
      </c>
    </row>
    <row r="9" spans="2:21" ht="12.75">
      <c r="B9" s="67" t="s">
        <v>162</v>
      </c>
      <c r="D9" s="8">
        <v>1</v>
      </c>
      <c r="E9" s="9">
        <v>1</v>
      </c>
      <c r="F9" s="9">
        <v>2</v>
      </c>
      <c r="G9" s="9">
        <v>1</v>
      </c>
      <c r="H9" s="10" t="str">
        <f aca="true" t="shared" si="0" ref="H9:H14">LOOKUP(Econ1_From,Econ1_Nodes,Econ1_Node_Name)</f>
        <v>Design</v>
      </c>
      <c r="I9" s="10" t="str">
        <f aca="true" t="shared" si="1" ref="I9:I14">LOOKUP(Econ1_To,Econ1_Nodes,Econ1_Node_Name)</f>
        <v>New</v>
      </c>
      <c r="J9" s="11" t="str">
        <f aca="true" t="shared" si="2" ref="J9:J14">I9</f>
        <v>New</v>
      </c>
      <c r="K9" s="12">
        <f aca="true" t="shared" si="3" ref="K9:K14">Econ1_Prob*(LOOKUP(Econ1_To,Econ1_Nodes,Econ1_Node_Value))</f>
        <v>1085.8000049367547</v>
      </c>
      <c r="M9" s="8">
        <v>1</v>
      </c>
      <c r="N9" s="8" t="s">
        <v>173</v>
      </c>
      <c r="O9" s="13" t="s">
        <v>153</v>
      </c>
      <c r="P9" s="9">
        <v>0</v>
      </c>
      <c r="Q9" s="12">
        <f aca="true" t="shared" si="4" ref="Q9:Q15">Econ1_Node_Added+SUMIF(Econ1_From,M9,Econ1_Total)</f>
        <v>1085.8000049367547</v>
      </c>
      <c r="R9" s="14">
        <v>1</v>
      </c>
      <c r="S9" s="10" t="str">
        <f aca="true" t="shared" si="5" ref="S9:S15">IF(Econ1_Node_Type="D",LOOKUP(R9,Econ1_Arcs,Econ1_Arc_Name),"")</f>
        <v>New</v>
      </c>
      <c r="T9" s="14">
        <v>0</v>
      </c>
      <c r="U9" s="14">
        <v>0</v>
      </c>
    </row>
    <row r="10" spans="4:21" ht="12.75">
      <c r="D10" s="8">
        <v>2</v>
      </c>
      <c r="E10" s="9">
        <v>1</v>
      </c>
      <c r="F10" s="9">
        <v>3</v>
      </c>
      <c r="G10" s="9">
        <v>0</v>
      </c>
      <c r="H10" s="10" t="str">
        <f t="shared" si="0"/>
        <v>Design</v>
      </c>
      <c r="I10" s="10" t="str">
        <f t="shared" si="1"/>
        <v>Current</v>
      </c>
      <c r="J10" s="11" t="str">
        <f t="shared" si="2"/>
        <v>Current</v>
      </c>
      <c r="K10" s="12">
        <f t="shared" si="3"/>
        <v>0</v>
      </c>
      <c r="M10" s="8">
        <v>2</v>
      </c>
      <c r="N10" s="8" t="s">
        <v>174</v>
      </c>
      <c r="O10" s="13" t="s">
        <v>166</v>
      </c>
      <c r="P10" s="9">
        <v>0</v>
      </c>
      <c r="Q10" s="12">
        <f t="shared" si="4"/>
        <v>1085.8000049367547</v>
      </c>
      <c r="R10" s="14"/>
      <c r="S10" s="10">
        <f t="shared" si="5"/>
      </c>
      <c r="T10" s="14">
        <v>1</v>
      </c>
      <c r="U10" s="14">
        <v>0</v>
      </c>
    </row>
    <row r="11" spans="2:21" ht="12.75">
      <c r="B11" s="67" t="s">
        <v>163</v>
      </c>
      <c r="D11" s="8">
        <v>3</v>
      </c>
      <c r="E11" s="9">
        <v>2</v>
      </c>
      <c r="F11" s="9">
        <v>4</v>
      </c>
      <c r="G11" s="9">
        <v>0.25</v>
      </c>
      <c r="H11" s="10" t="str">
        <f t="shared" si="0"/>
        <v>New</v>
      </c>
      <c r="I11" s="10" t="str">
        <f t="shared" si="1"/>
        <v>S_90</v>
      </c>
      <c r="J11" s="11" t="str">
        <f t="shared" si="2"/>
        <v>S_90</v>
      </c>
      <c r="K11" s="12">
        <f t="shared" si="3"/>
        <v>884.5</v>
      </c>
      <c r="M11" s="8">
        <v>3</v>
      </c>
      <c r="N11" s="8" t="s">
        <v>175</v>
      </c>
      <c r="O11" s="13" t="s">
        <v>152</v>
      </c>
      <c r="P11" s="9">
        <v>0</v>
      </c>
      <c r="Q11" s="12">
        <f t="shared" si="4"/>
        <v>0</v>
      </c>
      <c r="R11" s="14"/>
      <c r="S11" s="10">
        <f t="shared" si="5"/>
      </c>
      <c r="T11" s="14">
        <v>1</v>
      </c>
      <c r="U11" s="14">
        <v>0</v>
      </c>
    </row>
    <row r="12" spans="4:21" ht="12.75">
      <c r="D12" s="8">
        <v>4</v>
      </c>
      <c r="E12" s="9">
        <v>2</v>
      </c>
      <c r="F12" s="9">
        <v>5</v>
      </c>
      <c r="G12" s="9">
        <v>0.4000000059604645</v>
      </c>
      <c r="H12" s="10" t="str">
        <f t="shared" si="0"/>
        <v>New</v>
      </c>
      <c r="I12" s="10" t="str">
        <f t="shared" si="1"/>
        <v>S_70</v>
      </c>
      <c r="J12" s="11" t="str">
        <f t="shared" si="2"/>
        <v>S_70</v>
      </c>
      <c r="K12" s="12">
        <f t="shared" si="3"/>
        <v>645.6000096201897</v>
      </c>
      <c r="M12" s="8">
        <v>4</v>
      </c>
      <c r="N12" s="8" t="s">
        <v>176</v>
      </c>
      <c r="O12" s="13" t="s">
        <v>152</v>
      </c>
      <c r="P12" s="9">
        <v>3538</v>
      </c>
      <c r="Q12" s="12">
        <f t="shared" si="4"/>
        <v>3538</v>
      </c>
      <c r="R12" s="14"/>
      <c r="S12" s="10">
        <f t="shared" si="5"/>
      </c>
      <c r="T12" s="14">
        <v>2</v>
      </c>
      <c r="U12" s="14">
        <v>0</v>
      </c>
    </row>
    <row r="13" spans="4:21" ht="12.75">
      <c r="D13" s="8">
        <v>5</v>
      </c>
      <c r="E13" s="9">
        <v>2</v>
      </c>
      <c r="F13" s="9">
        <v>6</v>
      </c>
      <c r="G13" s="9">
        <v>0.25</v>
      </c>
      <c r="H13" s="10" t="str">
        <f t="shared" si="0"/>
        <v>New</v>
      </c>
      <c r="I13" s="10" t="str">
        <f t="shared" si="1"/>
        <v>S_50</v>
      </c>
      <c r="J13" s="11" t="str">
        <f t="shared" si="2"/>
        <v>S_50</v>
      </c>
      <c r="K13" s="12">
        <f t="shared" si="3"/>
        <v>-130</v>
      </c>
      <c r="M13" s="8">
        <v>5</v>
      </c>
      <c r="N13" s="8" t="s">
        <v>177</v>
      </c>
      <c r="O13" s="13" t="s">
        <v>152</v>
      </c>
      <c r="P13" s="9">
        <v>1614</v>
      </c>
      <c r="Q13" s="12">
        <f t="shared" si="4"/>
        <v>1614</v>
      </c>
      <c r="R13" s="14"/>
      <c r="S13" s="10">
        <f t="shared" si="5"/>
      </c>
      <c r="T13" s="14">
        <v>2</v>
      </c>
      <c r="U13" s="14">
        <v>0</v>
      </c>
    </row>
    <row r="14" spans="4:21" ht="12.75">
      <c r="D14" s="8">
        <v>6</v>
      </c>
      <c r="E14" s="9">
        <v>2</v>
      </c>
      <c r="F14" s="9">
        <v>7</v>
      </c>
      <c r="G14" s="9">
        <v>0.10000000149011612</v>
      </c>
      <c r="H14" s="10" t="str">
        <f t="shared" si="0"/>
        <v>New</v>
      </c>
      <c r="I14" s="10" t="str">
        <f t="shared" si="1"/>
        <v>S_30</v>
      </c>
      <c r="J14" s="11" t="str">
        <f t="shared" si="2"/>
        <v>S_30</v>
      </c>
      <c r="K14" s="12">
        <f t="shared" si="3"/>
        <v>-314.30000468343496</v>
      </c>
      <c r="M14" s="8">
        <v>6</v>
      </c>
      <c r="N14" s="8" t="s">
        <v>178</v>
      </c>
      <c r="O14" s="13" t="s">
        <v>152</v>
      </c>
      <c r="P14" s="9">
        <v>-520</v>
      </c>
      <c r="Q14" s="12">
        <f t="shared" si="4"/>
        <v>-520</v>
      </c>
      <c r="R14" s="14"/>
      <c r="S14" s="10">
        <f t="shared" si="5"/>
      </c>
      <c r="T14" s="14">
        <v>2</v>
      </c>
      <c r="U14" s="14">
        <v>0</v>
      </c>
    </row>
    <row r="15" spans="13:21" ht="12.75">
      <c r="M15" s="8">
        <v>7</v>
      </c>
      <c r="N15" s="8" t="s">
        <v>179</v>
      </c>
      <c r="O15" s="13" t="s">
        <v>152</v>
      </c>
      <c r="P15" s="9">
        <v>-3143</v>
      </c>
      <c r="Q15" s="12">
        <f t="shared" si="4"/>
        <v>-3143</v>
      </c>
      <c r="R15" s="14"/>
      <c r="S15" s="10">
        <f t="shared" si="5"/>
      </c>
      <c r="T15" s="14">
        <v>2</v>
      </c>
      <c r="U15" s="1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5"/>
  <sheetViews>
    <sheetView showGridLines="0" workbookViewId="0" topLeftCell="A1">
      <pane xSplit="4" ySplit="8" topLeftCell="M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R36" sqref="R36"/>
    </sheetView>
  </sheetViews>
  <sheetFormatPr defaultColWidth="11.00390625" defaultRowHeight="12"/>
  <cols>
    <col min="1" max="16384" width="6.875" style="0" customWidth="1"/>
  </cols>
  <sheetData>
    <row r="1" spans="1:20" ht="15">
      <c r="A1" s="1" t="s">
        <v>111</v>
      </c>
      <c r="E1" s="2" t="s">
        <v>112</v>
      </c>
      <c r="F1" s="4" t="s">
        <v>191</v>
      </c>
      <c r="H1" s="2" t="s">
        <v>127</v>
      </c>
      <c r="I1" s="5" t="s">
        <v>128</v>
      </c>
      <c r="K1" s="2" t="s">
        <v>132</v>
      </c>
      <c r="L1" s="5" t="s">
        <v>130</v>
      </c>
      <c r="N1" s="2" t="s">
        <v>137</v>
      </c>
      <c r="O1" s="5" t="s">
        <v>192</v>
      </c>
      <c r="P1" s="18" t="s">
        <v>181</v>
      </c>
      <c r="Q1" s="3" t="s">
        <v>184</v>
      </c>
      <c r="R1" s="3" t="s">
        <v>185</v>
      </c>
      <c r="S1" s="3" t="s">
        <v>186</v>
      </c>
      <c r="T1" s="3" t="s">
        <v>187</v>
      </c>
    </row>
    <row r="2" spans="5:20" ht="12.75">
      <c r="E2" s="2" t="s">
        <v>114</v>
      </c>
      <c r="F2" s="5" t="s">
        <v>122</v>
      </c>
      <c r="H2" s="2" t="s">
        <v>129</v>
      </c>
      <c r="I2" s="5" t="s">
        <v>130</v>
      </c>
      <c r="K2" s="2" t="s">
        <v>133</v>
      </c>
      <c r="L2" s="5" t="s">
        <v>130</v>
      </c>
      <c r="N2" s="2" t="s">
        <v>139</v>
      </c>
      <c r="O2" s="5" t="s">
        <v>130</v>
      </c>
      <c r="P2" s="3"/>
      <c r="Q2" s="39">
        <v>0.25</v>
      </c>
      <c r="R2" s="40">
        <f>[1]!MinIF(Econ1_U_Node_Type,"T",Econ1_U_Node_Added)</f>
        <v>-3143</v>
      </c>
      <c r="S2" s="40">
        <f>[1]!MaxIF(Econ1_U_Node_Type,"T",Econ1_U_Node_Added)</f>
        <v>3538</v>
      </c>
      <c r="T2" s="40">
        <f>IF(Econ1_U_Util_Max&gt;0,(Econ1_U_Util_Max-Econ1_U_Util_Min)^Econ1_U_Util_Param,1)</f>
        <v>9.040872985927729</v>
      </c>
    </row>
    <row r="3" spans="2:19" ht="12.75">
      <c r="B3" s="67" t="s">
        <v>159</v>
      </c>
      <c r="E3" s="2" t="s">
        <v>123</v>
      </c>
      <c r="F3" s="5" t="s">
        <v>124</v>
      </c>
      <c r="H3" s="2" t="s">
        <v>131</v>
      </c>
      <c r="I3" s="5" t="s">
        <v>128</v>
      </c>
      <c r="K3" s="2" t="s">
        <v>134</v>
      </c>
      <c r="L3" s="5" t="s">
        <v>130</v>
      </c>
      <c r="P3" s="3"/>
      <c r="Q3" s="3" t="s">
        <v>155</v>
      </c>
      <c r="R3" s="3" t="s">
        <v>188</v>
      </c>
      <c r="S3" t="s">
        <v>189</v>
      </c>
    </row>
    <row r="4" spans="5:21" ht="12.75">
      <c r="E4" s="2" t="s">
        <v>125</v>
      </c>
      <c r="F4" s="5" t="s">
        <v>126</v>
      </c>
      <c r="K4" s="2" t="s">
        <v>135</v>
      </c>
      <c r="L4" s="5" t="s">
        <v>128</v>
      </c>
      <c r="P4" s="3"/>
      <c r="Q4" s="39">
        <v>10</v>
      </c>
      <c r="R4" s="40">
        <f>((Q4-Econ1_U_Util_Min)^Econ1_U_Util_Param)/Econ1_U_Util_Norm</f>
        <v>0.8288398524649608</v>
      </c>
      <c r="S4" s="21">
        <f>Econ1_U_Util_Min+(R4*Econ1_U_Util_Norm)^(1/Econ1_U_Util_Param)</f>
        <v>10.000000000002274</v>
      </c>
      <c r="U4" s="67" t="s">
        <v>190</v>
      </c>
    </row>
    <row r="5" spans="2:12" ht="12.75">
      <c r="B5" s="67" t="s">
        <v>160</v>
      </c>
      <c r="K5" s="2" t="s">
        <v>136</v>
      </c>
      <c r="L5" s="5" t="s">
        <v>128</v>
      </c>
    </row>
    <row r="6" spans="4:14" ht="12.75">
      <c r="D6" s="7" t="s">
        <v>140</v>
      </c>
      <c r="N6" s="7" t="s">
        <v>149</v>
      </c>
    </row>
    <row r="7" spans="2:23" ht="12.75">
      <c r="B7" s="67" t="s">
        <v>161</v>
      </c>
      <c r="C7" s="3"/>
      <c r="D7" s="3" t="s">
        <v>141</v>
      </c>
      <c r="E7" s="3" t="s">
        <v>143</v>
      </c>
      <c r="F7" s="3" t="s">
        <v>144</v>
      </c>
      <c r="G7" s="3" t="s">
        <v>141</v>
      </c>
      <c r="H7" s="3" t="s">
        <v>143</v>
      </c>
      <c r="I7" s="3" t="s">
        <v>144</v>
      </c>
      <c r="J7" s="3" t="s">
        <v>141</v>
      </c>
      <c r="K7" s="3" t="s">
        <v>141</v>
      </c>
      <c r="M7" s="3" t="s">
        <v>150</v>
      </c>
      <c r="N7" s="3" t="s">
        <v>150</v>
      </c>
      <c r="O7" s="3" t="s">
        <v>150</v>
      </c>
      <c r="P7" s="3" t="s">
        <v>150</v>
      </c>
      <c r="Q7" s="3" t="s">
        <v>150</v>
      </c>
      <c r="R7" s="3" t="s">
        <v>154</v>
      </c>
      <c r="S7" s="3" t="s">
        <v>182</v>
      </c>
      <c r="T7" s="3" t="s">
        <v>154</v>
      </c>
      <c r="U7" s="3" t="s">
        <v>154</v>
      </c>
      <c r="V7" s="3" t="s">
        <v>150</v>
      </c>
      <c r="W7" s="3" t="s">
        <v>150</v>
      </c>
    </row>
    <row r="8" spans="3:23" ht="12.75">
      <c r="C8" s="3"/>
      <c r="D8" s="3" t="s">
        <v>142</v>
      </c>
      <c r="E8" s="3" t="s">
        <v>142</v>
      </c>
      <c r="F8" s="3" t="s">
        <v>142</v>
      </c>
      <c r="G8" s="3" t="s">
        <v>146</v>
      </c>
      <c r="H8" s="3" t="s">
        <v>147</v>
      </c>
      <c r="I8" s="3" t="s">
        <v>147</v>
      </c>
      <c r="J8" s="3" t="s">
        <v>147</v>
      </c>
      <c r="K8" s="3" t="s">
        <v>181</v>
      </c>
      <c r="M8" s="3" t="s">
        <v>142</v>
      </c>
      <c r="N8" s="3" t="s">
        <v>147</v>
      </c>
      <c r="O8" s="3" t="s">
        <v>151</v>
      </c>
      <c r="P8" s="3" t="s">
        <v>155</v>
      </c>
      <c r="Q8" s="3" t="s">
        <v>181</v>
      </c>
      <c r="R8" s="3" t="s">
        <v>181</v>
      </c>
      <c r="S8" s="3" t="s">
        <v>183</v>
      </c>
      <c r="T8" s="3" t="s">
        <v>141</v>
      </c>
      <c r="U8" s="3" t="s">
        <v>156</v>
      </c>
      <c r="V8" s="3" t="s">
        <v>157</v>
      </c>
      <c r="W8" s="3" t="s">
        <v>158</v>
      </c>
    </row>
    <row r="9" spans="2:23" ht="12.75">
      <c r="B9" s="67" t="s">
        <v>162</v>
      </c>
      <c r="D9" s="8">
        <v>1</v>
      </c>
      <c r="E9" s="9">
        <v>1</v>
      </c>
      <c r="F9" s="9">
        <v>2</v>
      </c>
      <c r="G9" s="9">
        <v>1</v>
      </c>
      <c r="H9" s="10" t="str">
        <f aca="true" t="shared" si="0" ref="H9:H14">LOOKUP(Econ1_U_From,Econ1_U_Nodes,Econ1_U_Node_Name)</f>
        <v>Design</v>
      </c>
      <c r="I9" s="10" t="str">
        <f aca="true" t="shared" si="1" ref="I9:I14">LOOKUP(Econ1_U_To,Econ1_U_Nodes,Econ1_U_Node_Name)</f>
        <v>New</v>
      </c>
      <c r="J9" s="11" t="str">
        <f aca="true" t="shared" si="2" ref="J9:J14">I9</f>
        <v>New</v>
      </c>
      <c r="K9" s="12">
        <f aca="true" t="shared" si="3" ref="K9:K14">Econ1_U_Prob*(LOOKUP(Econ1_U_To,Econ1_U_Nodes,Econ1_U_Node_Value))</f>
        <v>0.8153294709310256</v>
      </c>
      <c r="M9" s="8">
        <v>1</v>
      </c>
      <c r="N9" s="8" t="s">
        <v>173</v>
      </c>
      <c r="O9" s="13" t="s">
        <v>153</v>
      </c>
      <c r="P9" s="9">
        <v>0</v>
      </c>
      <c r="Q9" s="38">
        <f aca="true" t="shared" si="4" ref="Q9:Q15">IF(Econ1_U_Node_Type="T",((P9-Econ1_U_Util_Min)^Econ1_U_Util_Param)/Econ1_U_Util_Norm,"")</f>
      </c>
      <c r="R9" s="12">
        <f>IF(Econ1_U_Node_Type="D",[1]!MaxIF(Econ1_U_From,M9,Econ1_U_Total),IF(Econ1_U_Node_Type="C",SUMIF(Econ1_U_From,M9,Econ1_U_Total),Econ1_U_Node_Utility))</f>
        <v>0.8281818858811512</v>
      </c>
      <c r="S9" s="38">
        <f aca="true" t="shared" si="5" ref="S9:S15">Econ1_U_Util_Min+(R9*Econ1_U_Util_Norm)^(1/Econ1_U_Util_Param)</f>
        <v>-1.8189894035458565E-12</v>
      </c>
      <c r="T9" s="12">
        <f>IF(Econ1_U_Node_Type="D",[1]!MatchIF(Econ1_U_From,M9,Econ1_U_Total,R9),"")</f>
        <v>2</v>
      </c>
      <c r="U9" s="10" t="str">
        <f aca="true" t="shared" si="6" ref="U9:U15">IF(Econ1_U_Node_Type="D",LOOKUP(T9,Econ1_U_Arcs,Econ1_U_Arc_Name),"")</f>
        <v>Current</v>
      </c>
      <c r="V9" s="14">
        <v>0</v>
      </c>
      <c r="W9" s="14">
        <v>0</v>
      </c>
    </row>
    <row r="10" spans="4:23" ht="12.75">
      <c r="D10" s="8">
        <v>2</v>
      </c>
      <c r="E10" s="9">
        <v>1</v>
      </c>
      <c r="F10" s="9">
        <v>3</v>
      </c>
      <c r="G10" s="9">
        <v>1</v>
      </c>
      <c r="H10" s="10" t="str">
        <f t="shared" si="0"/>
        <v>Design</v>
      </c>
      <c r="I10" s="10" t="str">
        <f t="shared" si="1"/>
        <v>Current</v>
      </c>
      <c r="J10" s="11" t="str">
        <f t="shared" si="2"/>
        <v>Current</v>
      </c>
      <c r="K10" s="12">
        <f t="shared" si="3"/>
        <v>0.8281818858811512</v>
      </c>
      <c r="M10" s="8">
        <v>2</v>
      </c>
      <c r="N10" s="8" t="s">
        <v>174</v>
      </c>
      <c r="O10" s="13" t="s">
        <v>166</v>
      </c>
      <c r="P10" s="9">
        <v>0</v>
      </c>
      <c r="Q10" s="38">
        <f t="shared" si="4"/>
      </c>
      <c r="R10" s="12">
        <f>IF(Econ1_U_Node_Type="D",[1]!MaxIF(Econ1_U_From,M10,Econ1_U_Total),IF(Econ1_U_Node_Type="C",SUMIF(Econ1_U_From,M10,Econ1_U_Total),Econ1_U_Node_Utility))</f>
        <v>0.8153294709310256</v>
      </c>
      <c r="S10" s="38">
        <f t="shared" si="5"/>
        <v>-190.60790195083155</v>
      </c>
      <c r="T10" s="12">
        <f>IF(Econ1_U_Node_Type="D",[1]!MatchIF(Econ1_U_From,M10,Econ1_U_Total,R10),"")</f>
      </c>
      <c r="U10" s="10">
        <f t="shared" si="6"/>
      </c>
      <c r="V10" s="14">
        <v>1</v>
      </c>
      <c r="W10" s="14">
        <v>0</v>
      </c>
    </row>
    <row r="11" spans="2:23" ht="12.75">
      <c r="B11" s="67" t="s">
        <v>163</v>
      </c>
      <c r="D11" s="8">
        <v>3</v>
      </c>
      <c r="E11" s="9">
        <v>2</v>
      </c>
      <c r="F11" s="9">
        <v>4</v>
      </c>
      <c r="G11" s="9">
        <v>0.25</v>
      </c>
      <c r="H11" s="10" t="str">
        <f t="shared" si="0"/>
        <v>New</v>
      </c>
      <c r="I11" s="10" t="str">
        <f t="shared" si="1"/>
        <v>S_90</v>
      </c>
      <c r="J11" s="11" t="str">
        <f t="shared" si="2"/>
        <v>S_90</v>
      </c>
      <c r="K11" s="12">
        <f t="shared" si="3"/>
        <v>0.25</v>
      </c>
      <c r="M11" s="8">
        <v>3</v>
      </c>
      <c r="N11" s="8" t="s">
        <v>175</v>
      </c>
      <c r="O11" s="13" t="s">
        <v>152</v>
      </c>
      <c r="P11" s="9">
        <v>0</v>
      </c>
      <c r="Q11" s="38">
        <f t="shared" si="4"/>
        <v>0.8281818858811512</v>
      </c>
      <c r="R11" s="12">
        <f>IF(Econ1_U_Node_Type="D",[1]!MaxIF(Econ1_U_From,M11,Econ1_U_Total),IF(Econ1_U_Node_Type="C",SUMIF(Econ1_U_From,M11,Econ1_U_Total),Econ1_U_Node_Utility))</f>
        <v>0.8281818858811512</v>
      </c>
      <c r="S11" s="38">
        <f t="shared" si="5"/>
        <v>-1.8189894035458565E-12</v>
      </c>
      <c r="T11" s="12">
        <f>IF(Econ1_U_Node_Type="D",[1]!MatchIF(Econ1_U_From,M11,Econ1_U_Total,R11),"")</f>
      </c>
      <c r="U11" s="10">
        <f t="shared" si="6"/>
      </c>
      <c r="V11" s="14">
        <v>1</v>
      </c>
      <c r="W11" s="14">
        <v>1</v>
      </c>
    </row>
    <row r="12" spans="4:23" ht="12.75">
      <c r="D12" s="8">
        <v>4</v>
      </c>
      <c r="E12" s="9">
        <v>2</v>
      </c>
      <c r="F12" s="9">
        <v>5</v>
      </c>
      <c r="G12" s="9">
        <v>0.4000000059604645</v>
      </c>
      <c r="H12" s="10" t="str">
        <f t="shared" si="0"/>
        <v>New</v>
      </c>
      <c r="I12" s="10" t="str">
        <f t="shared" si="1"/>
        <v>S_70</v>
      </c>
      <c r="J12" s="11" t="str">
        <f t="shared" si="2"/>
        <v>S_70</v>
      </c>
      <c r="K12" s="12">
        <f t="shared" si="3"/>
        <v>0.36743702636358305</v>
      </c>
      <c r="M12" s="8">
        <v>4</v>
      </c>
      <c r="N12" s="8" t="s">
        <v>176</v>
      </c>
      <c r="O12" s="13" t="s">
        <v>152</v>
      </c>
      <c r="P12" s="9">
        <v>3538</v>
      </c>
      <c r="Q12" s="38">
        <f t="shared" si="4"/>
        <v>1</v>
      </c>
      <c r="R12" s="12">
        <f>IF(Econ1_U_Node_Type="D",[1]!MaxIF(Econ1_U_From,M12,Econ1_U_Total),IF(Econ1_U_Node_Type="C",SUMIF(Econ1_U_From,M12,Econ1_U_Total),Econ1_U_Node_Utility))</f>
        <v>1</v>
      </c>
      <c r="S12" s="38">
        <f t="shared" si="5"/>
        <v>3538</v>
      </c>
      <c r="T12" s="12">
        <f>IF(Econ1_U_Node_Type="D",[1]!MatchIF(Econ1_U_From,M12,Econ1_U_Total,R12),"")</f>
      </c>
      <c r="U12" s="10">
        <f t="shared" si="6"/>
      </c>
      <c r="V12" s="14">
        <v>2</v>
      </c>
      <c r="W12" s="14">
        <v>0</v>
      </c>
    </row>
    <row r="13" spans="4:23" ht="12.75">
      <c r="D13" s="8">
        <v>5</v>
      </c>
      <c r="E13" s="9">
        <v>2</v>
      </c>
      <c r="F13" s="9">
        <v>6</v>
      </c>
      <c r="G13" s="9">
        <v>0.25</v>
      </c>
      <c r="H13" s="10" t="str">
        <f t="shared" si="0"/>
        <v>New</v>
      </c>
      <c r="I13" s="10" t="str">
        <f t="shared" si="1"/>
        <v>S_50</v>
      </c>
      <c r="J13" s="11" t="str">
        <f t="shared" si="2"/>
        <v>S_50</v>
      </c>
      <c r="K13" s="12">
        <f t="shared" si="3"/>
        <v>0.19789244456744248</v>
      </c>
      <c r="M13" s="8">
        <v>5</v>
      </c>
      <c r="N13" s="8" t="s">
        <v>177</v>
      </c>
      <c r="O13" s="13" t="s">
        <v>152</v>
      </c>
      <c r="P13" s="9">
        <v>1614</v>
      </c>
      <c r="Q13" s="38">
        <f t="shared" si="4"/>
        <v>0.9185925522208619</v>
      </c>
      <c r="R13" s="12">
        <f>IF(Econ1_U_Node_Type="D",[1]!MaxIF(Econ1_U_From,M13,Econ1_U_Total),IF(Econ1_U_Node_Type="C",SUMIF(Econ1_U_From,M13,Econ1_U_Total),Econ1_U_Node_Utility))</f>
        <v>0.9185925522208619</v>
      </c>
      <c r="S13" s="38">
        <f t="shared" si="5"/>
        <v>1613.9999999999982</v>
      </c>
      <c r="T13" s="12">
        <f>IF(Econ1_U_Node_Type="D",[1]!MatchIF(Econ1_U_From,M13,Econ1_U_Total,R13),"")</f>
      </c>
      <c r="U13" s="10">
        <f t="shared" si="6"/>
      </c>
      <c r="V13" s="14">
        <v>2</v>
      </c>
      <c r="W13" s="14">
        <v>1</v>
      </c>
    </row>
    <row r="14" spans="4:23" ht="12.75">
      <c r="D14" s="8">
        <v>6</v>
      </c>
      <c r="E14" s="9">
        <v>2</v>
      </c>
      <c r="F14" s="9">
        <v>7</v>
      </c>
      <c r="G14" s="9">
        <v>0.10000000149011612</v>
      </c>
      <c r="H14" s="10" t="str">
        <f t="shared" si="0"/>
        <v>New</v>
      </c>
      <c r="I14" s="10" t="str">
        <f t="shared" si="1"/>
        <v>S_30</v>
      </c>
      <c r="J14" s="11" t="str">
        <f t="shared" si="2"/>
        <v>S_30</v>
      </c>
      <c r="K14" s="12">
        <f t="shared" si="3"/>
        <v>0</v>
      </c>
      <c r="M14" s="8">
        <v>6</v>
      </c>
      <c r="N14" s="8" t="s">
        <v>178</v>
      </c>
      <c r="O14" s="13" t="s">
        <v>152</v>
      </c>
      <c r="P14" s="9">
        <v>-520</v>
      </c>
      <c r="Q14" s="38">
        <f t="shared" si="4"/>
        <v>0.7915697782697699</v>
      </c>
      <c r="R14" s="12">
        <f>IF(Econ1_U_Node_Type="D",[1]!MaxIF(Econ1_U_From,M14,Econ1_U_Total),IF(Econ1_U_Node_Type="C",SUMIF(Econ1_U_From,M14,Econ1_U_Total),Econ1_U_Node_Utility))</f>
        <v>0.7915697782697699</v>
      </c>
      <c r="S14" s="38">
        <f t="shared" si="5"/>
        <v>-520.0000000000005</v>
      </c>
      <c r="T14" s="12">
        <f>IF(Econ1_U_Node_Type="D",[1]!MatchIF(Econ1_U_From,M14,Econ1_U_Total,R14),"")</f>
      </c>
      <c r="U14" s="10">
        <f t="shared" si="6"/>
      </c>
      <c r="V14" s="14">
        <v>2</v>
      </c>
      <c r="W14" s="14">
        <v>2</v>
      </c>
    </row>
    <row r="15" spans="13:23" ht="12.75">
      <c r="M15" s="8">
        <v>7</v>
      </c>
      <c r="N15" s="8" t="s">
        <v>179</v>
      </c>
      <c r="O15" s="13" t="s">
        <v>152</v>
      </c>
      <c r="P15" s="9">
        <v>-3143</v>
      </c>
      <c r="Q15" s="38">
        <f t="shared" si="4"/>
        <v>0</v>
      </c>
      <c r="R15" s="12">
        <f>IF(Econ1_U_Node_Type="D",[1]!MaxIF(Econ1_U_From,M15,Econ1_U_Total),IF(Econ1_U_Node_Type="C",SUMIF(Econ1_U_From,M15,Econ1_U_Total),Econ1_U_Node_Utility))</f>
        <v>0</v>
      </c>
      <c r="S15" s="38">
        <f t="shared" si="5"/>
        <v>-3143</v>
      </c>
      <c r="T15" s="12">
        <f>IF(Econ1_U_Node_Type="D",[1]!MatchIF(Econ1_U_From,M15,Econ1_U_Total,R15),"")</f>
      </c>
      <c r="U15" s="10">
        <f t="shared" si="6"/>
      </c>
      <c r="V15" s="14">
        <v>2</v>
      </c>
      <c r="W15" s="14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11.00390625" defaultRowHeight="12"/>
  <cols>
    <col min="1" max="3" width="8.875" style="0" customWidth="1"/>
    <col min="4" max="4" width="2.875" style="0" customWidth="1"/>
    <col min="5" max="5" width="7.875" style="0" bestFit="1" customWidth="1"/>
    <col min="6" max="6" width="12.125" style="0" bestFit="1" customWidth="1"/>
    <col min="7" max="9" width="6.875" style="0" customWidth="1"/>
    <col min="10" max="10" width="8.00390625" style="0" bestFit="1" customWidth="1"/>
    <col min="11" max="11" width="12.125" style="0" bestFit="1" customWidth="1"/>
    <col min="12" max="14" width="6.875" style="0" customWidth="1"/>
    <col min="15" max="15" width="7.875" style="0" bestFit="1" customWidth="1"/>
    <col min="16" max="16" width="12.125" style="0" bestFit="1" customWidth="1"/>
    <col min="17" max="16384" width="6.875" style="0" customWidth="1"/>
  </cols>
  <sheetData>
    <row r="1" ht="12.75">
      <c r="A1" s="7" t="s">
        <v>193</v>
      </c>
    </row>
    <row r="3" ht="12">
      <c r="B3" s="15" t="s">
        <v>160</v>
      </c>
    </row>
    <row r="6" spans="1:16" ht="12.75">
      <c r="A6" s="3" t="s">
        <v>150</v>
      </c>
      <c r="B6" s="3" t="s">
        <v>156</v>
      </c>
      <c r="C6" s="3" t="s">
        <v>155</v>
      </c>
      <c r="E6" s="22" t="s">
        <v>156</v>
      </c>
      <c r="F6" s="23" t="s">
        <v>195</v>
      </c>
      <c r="H6" s="3"/>
      <c r="I6" s="3"/>
      <c r="J6" s="32" t="s">
        <v>39</v>
      </c>
      <c r="K6" s="33" t="s">
        <v>197</v>
      </c>
      <c r="M6" s="3"/>
      <c r="N6" s="3"/>
      <c r="O6" s="28" t="s">
        <v>37</v>
      </c>
      <c r="P6" s="29" t="s">
        <v>199</v>
      </c>
    </row>
    <row r="7" spans="1:16" ht="12.75">
      <c r="A7" s="36" t="s">
        <v>173</v>
      </c>
      <c r="B7" s="36" t="s">
        <v>175</v>
      </c>
      <c r="C7" s="37">
        <v>0.8281818858811512</v>
      </c>
      <c r="E7" s="24" t="s">
        <v>194</v>
      </c>
      <c r="F7" s="25">
        <v>0.8281818858811512</v>
      </c>
      <c r="H7" s="3"/>
      <c r="I7" s="3"/>
      <c r="J7" s="34" t="s">
        <v>196</v>
      </c>
      <c r="K7" s="35">
        <v>0.8153294709310256</v>
      </c>
      <c r="M7" s="3" t="s">
        <v>146</v>
      </c>
      <c r="N7" s="3">
        <v>0.25</v>
      </c>
      <c r="O7" s="30" t="s">
        <v>181</v>
      </c>
      <c r="P7" s="31">
        <v>1</v>
      </c>
    </row>
    <row r="8" spans="5:14" ht="12.75">
      <c r="E8" s="26" t="s">
        <v>36</v>
      </c>
      <c r="F8" s="27" t="s">
        <v>175</v>
      </c>
      <c r="M8" s="3"/>
      <c r="N8" s="3"/>
    </row>
    <row r="12" spans="8:16" ht="12.75">
      <c r="H12" s="3"/>
      <c r="I12" s="3"/>
      <c r="J12" s="28" t="s">
        <v>37</v>
      </c>
      <c r="K12" s="29" t="s">
        <v>198</v>
      </c>
      <c r="M12" s="3"/>
      <c r="N12" s="3"/>
      <c r="O12" s="28" t="s">
        <v>37</v>
      </c>
      <c r="P12" s="29" t="s">
        <v>200</v>
      </c>
    </row>
    <row r="13" spans="8:16" ht="12.75">
      <c r="H13" s="3"/>
      <c r="I13" s="3"/>
      <c r="J13" s="30" t="s">
        <v>181</v>
      </c>
      <c r="K13" s="31">
        <v>0.8281818858811512</v>
      </c>
      <c r="M13" s="3" t="s">
        <v>146</v>
      </c>
      <c r="N13" s="3">
        <v>0.4000000059604645</v>
      </c>
      <c r="O13" s="30" t="s">
        <v>181</v>
      </c>
      <c r="P13" s="31">
        <v>0.9185925522208619</v>
      </c>
    </row>
    <row r="14" spans="13:14" ht="12.75">
      <c r="M14" s="3"/>
      <c r="N14" s="3"/>
    </row>
    <row r="18" spans="13:16" ht="12.75">
      <c r="M18" s="3"/>
      <c r="N18" s="3"/>
      <c r="O18" s="28" t="s">
        <v>37</v>
      </c>
      <c r="P18" s="29" t="s">
        <v>201</v>
      </c>
    </row>
    <row r="19" spans="13:16" ht="12.75">
      <c r="M19" s="3" t="s">
        <v>146</v>
      </c>
      <c r="N19" s="3">
        <v>0.25</v>
      </c>
      <c r="O19" s="30" t="s">
        <v>181</v>
      </c>
      <c r="P19" s="31">
        <v>0.7915697782697699</v>
      </c>
    </row>
    <row r="20" spans="13:14" ht="12.75">
      <c r="M20" s="3"/>
      <c r="N20" s="3"/>
    </row>
    <row r="24" spans="13:16" ht="12.75">
      <c r="M24" s="3"/>
      <c r="N24" s="3"/>
      <c r="O24" s="28" t="s">
        <v>37</v>
      </c>
      <c r="P24" s="29" t="s">
        <v>202</v>
      </c>
    </row>
    <row r="25" spans="13:16" ht="12.75">
      <c r="M25" s="3" t="s">
        <v>146</v>
      </c>
      <c r="N25" s="3">
        <v>0.10000000149011612</v>
      </c>
      <c r="O25" s="30" t="s">
        <v>181</v>
      </c>
      <c r="P25" s="31">
        <v>0</v>
      </c>
    </row>
    <row r="26" spans="13:14" ht="12.75">
      <c r="M26" s="3"/>
      <c r="N26" s="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30"/>
  <sheetViews>
    <sheetView showGridLines="0" workbookViewId="0" topLeftCell="A1">
      <selection activeCell="A1" sqref="A1"/>
    </sheetView>
  </sheetViews>
  <sheetFormatPr defaultColWidth="11.00390625" defaultRowHeight="12"/>
  <cols>
    <col min="1" max="8" width="6.875" style="0" customWidth="1"/>
    <col min="9" max="11" width="12.50390625" style="0" customWidth="1"/>
    <col min="12" max="14" width="6.875" style="0" customWidth="1"/>
    <col min="15" max="15" width="15.125" style="0" customWidth="1"/>
    <col min="16" max="25" width="6.875" style="0" customWidth="1"/>
    <col min="26" max="26" width="16.375" style="0" customWidth="1"/>
    <col min="27" max="27" width="9.625" style="0" customWidth="1"/>
    <col min="28" max="31" width="7.875" style="0" customWidth="1"/>
    <col min="32" max="34" width="6.875" style="0" customWidth="1"/>
    <col min="35" max="36" width="10.125" style="0" customWidth="1"/>
    <col min="37" max="39" width="7.875" style="0" customWidth="1"/>
    <col min="40" max="40" width="10.00390625" style="0" customWidth="1"/>
    <col min="41" max="42" width="7.875" style="0" customWidth="1"/>
    <col min="43" max="16384" width="6.875" style="0" customWidth="1"/>
  </cols>
  <sheetData>
    <row r="1" spans="1:21" ht="15">
      <c r="A1" s="1" t="s">
        <v>111</v>
      </c>
      <c r="E1" s="2" t="s">
        <v>112</v>
      </c>
      <c r="F1" s="4" t="s">
        <v>212</v>
      </c>
      <c r="H1" s="2" t="s">
        <v>127</v>
      </c>
      <c r="I1" s="5" t="s">
        <v>130</v>
      </c>
      <c r="K1" s="2" t="s">
        <v>132</v>
      </c>
      <c r="L1" s="5" t="s">
        <v>128</v>
      </c>
      <c r="N1" s="2" t="s">
        <v>137</v>
      </c>
      <c r="O1" s="5" t="s">
        <v>180</v>
      </c>
      <c r="Q1" s="18" t="s">
        <v>181</v>
      </c>
      <c r="R1" s="3" t="s">
        <v>184</v>
      </c>
      <c r="S1" s="3" t="s">
        <v>185</v>
      </c>
      <c r="T1" s="3" t="s">
        <v>186</v>
      </c>
      <c r="U1" s="3" t="s">
        <v>187</v>
      </c>
    </row>
    <row r="2" spans="5:21" ht="12.75">
      <c r="E2" s="2" t="s">
        <v>114</v>
      </c>
      <c r="F2" s="5" t="s">
        <v>122</v>
      </c>
      <c r="H2" s="2" t="s">
        <v>129</v>
      </c>
      <c r="I2" s="5" t="s">
        <v>130</v>
      </c>
      <c r="K2" s="2" t="s">
        <v>133</v>
      </c>
      <c r="L2" s="5" t="s">
        <v>130</v>
      </c>
      <c r="N2" s="2" t="s">
        <v>139</v>
      </c>
      <c r="O2" s="5" t="s">
        <v>130</v>
      </c>
      <c r="Q2" s="3"/>
      <c r="R2" s="39">
        <v>10000</v>
      </c>
      <c r="S2" s="40">
        <f>MIN(Econ2_Node_Added)</f>
        <v>-3143</v>
      </c>
      <c r="T2" s="40">
        <f>MAX(Econ2_Node_Added)</f>
        <v>3538</v>
      </c>
      <c r="U2" s="40">
        <f>IF(Econ2_Util_Max&gt;0,1-EXP(-(Econ2_Util_Max-Econ2_Util_Min)/Econ2_Util_Param),1)</f>
        <v>0.48731825169643406</v>
      </c>
    </row>
    <row r="3" spans="2:20" ht="12.75">
      <c r="B3" s="67" t="s">
        <v>159</v>
      </c>
      <c r="E3" s="2" t="s">
        <v>123</v>
      </c>
      <c r="F3" s="5" t="s">
        <v>172</v>
      </c>
      <c r="H3" s="2" t="s">
        <v>131</v>
      </c>
      <c r="I3" s="5" t="s">
        <v>128</v>
      </c>
      <c r="K3" s="2" t="s">
        <v>134</v>
      </c>
      <c r="L3" s="5" t="s">
        <v>130</v>
      </c>
      <c r="Q3" s="3"/>
      <c r="R3" s="3" t="s">
        <v>155</v>
      </c>
      <c r="S3" s="3" t="s">
        <v>188</v>
      </c>
      <c r="T3" t="s">
        <v>189</v>
      </c>
    </row>
    <row r="4" spans="5:22" ht="12.75">
      <c r="E4" s="2" t="s">
        <v>125</v>
      </c>
      <c r="F4" s="5" t="s">
        <v>126</v>
      </c>
      <c r="K4" s="2" t="s">
        <v>135</v>
      </c>
      <c r="L4" s="5" t="s">
        <v>128</v>
      </c>
      <c r="Q4" s="3"/>
      <c r="R4" s="39">
        <f>(Econ2_Util_Max+Econ2_Util_Min)*2</f>
        <v>790</v>
      </c>
      <c r="S4" s="40">
        <f>(1-EXP(-(R4-Econ2_Util_Min)/Econ2_Util_Param))/Econ2_Util_Norm</f>
        <v>0.6672718075567738</v>
      </c>
      <c r="T4" s="21">
        <f>Econ2_Util_Min+-Econ2_Util_Param*LN(1-S4*Econ2_Util_Norm)</f>
        <v>790.0000000000005</v>
      </c>
      <c r="V4" s="67" t="s">
        <v>190</v>
      </c>
    </row>
    <row r="5" spans="2:12" ht="12.75">
      <c r="B5" s="67" t="s">
        <v>160</v>
      </c>
      <c r="K5" s="2" t="s">
        <v>136</v>
      </c>
      <c r="L5" s="5" t="s">
        <v>128</v>
      </c>
    </row>
    <row r="6" spans="4:15" ht="12.75">
      <c r="D6" s="7" t="s">
        <v>140</v>
      </c>
      <c r="O6" s="7" t="s">
        <v>149</v>
      </c>
    </row>
    <row r="7" spans="2:35" ht="12.75">
      <c r="B7" s="67" t="s">
        <v>161</v>
      </c>
      <c r="C7" s="3"/>
      <c r="D7" s="3" t="s">
        <v>141</v>
      </c>
      <c r="E7" s="3" t="s">
        <v>143</v>
      </c>
      <c r="F7" s="3" t="s">
        <v>144</v>
      </c>
      <c r="G7" s="3" t="s">
        <v>141</v>
      </c>
      <c r="H7" s="3" t="s">
        <v>141</v>
      </c>
      <c r="I7" s="3" t="s">
        <v>143</v>
      </c>
      <c r="J7" s="3" t="s">
        <v>144</v>
      </c>
      <c r="K7" s="3" t="s">
        <v>141</v>
      </c>
      <c r="L7" s="3" t="s">
        <v>141</v>
      </c>
      <c r="N7" s="3" t="s">
        <v>150</v>
      </c>
      <c r="O7" s="3" t="s">
        <v>150</v>
      </c>
      <c r="P7" s="3" t="s">
        <v>150</v>
      </c>
      <c r="Q7" s="3" t="s">
        <v>150</v>
      </c>
      <c r="R7" s="3" t="s">
        <v>150</v>
      </c>
      <c r="S7" s="3" t="s">
        <v>154</v>
      </c>
      <c r="T7" s="3" t="s">
        <v>182</v>
      </c>
      <c r="U7" s="3" t="s">
        <v>154</v>
      </c>
      <c r="V7" s="3" t="s">
        <v>154</v>
      </c>
      <c r="W7" s="3" t="s">
        <v>150</v>
      </c>
      <c r="X7" s="3" t="s">
        <v>150</v>
      </c>
      <c r="Z7" s="7" t="s">
        <v>235</v>
      </c>
      <c r="AB7" s="3" t="s">
        <v>236</v>
      </c>
      <c r="AF7" s="19" t="s">
        <v>27</v>
      </c>
      <c r="AI7" s="7" t="s">
        <v>19</v>
      </c>
    </row>
    <row r="8" spans="3:40" ht="12.75">
      <c r="C8" s="3"/>
      <c r="D8" s="3" t="s">
        <v>142</v>
      </c>
      <c r="E8" s="3" t="s">
        <v>142</v>
      </c>
      <c r="F8" s="3" t="s">
        <v>142</v>
      </c>
      <c r="G8" s="3" t="s">
        <v>184</v>
      </c>
      <c r="H8" s="3" t="s">
        <v>146</v>
      </c>
      <c r="I8" s="3" t="s">
        <v>147</v>
      </c>
      <c r="J8" s="3" t="s">
        <v>147</v>
      </c>
      <c r="K8" s="3" t="s">
        <v>147</v>
      </c>
      <c r="L8" s="3" t="s">
        <v>181</v>
      </c>
      <c r="N8" s="3" t="s">
        <v>142</v>
      </c>
      <c r="O8" s="3" t="s">
        <v>147</v>
      </c>
      <c r="P8" s="3" t="s">
        <v>151</v>
      </c>
      <c r="Q8" s="3" t="s">
        <v>155</v>
      </c>
      <c r="R8" s="3" t="s">
        <v>181</v>
      </c>
      <c r="S8" s="3" t="s">
        <v>181</v>
      </c>
      <c r="T8" s="3" t="s">
        <v>183</v>
      </c>
      <c r="U8" s="3" t="s">
        <v>141</v>
      </c>
      <c r="V8" s="3" t="s">
        <v>156</v>
      </c>
      <c r="W8" s="3" t="s">
        <v>157</v>
      </c>
      <c r="X8" s="3" t="s">
        <v>158</v>
      </c>
      <c r="Z8" s="49" t="s">
        <v>21</v>
      </c>
      <c r="AA8" s="18" t="s">
        <v>237</v>
      </c>
      <c r="AB8" s="3" t="s">
        <v>176</v>
      </c>
      <c r="AC8" s="3" t="s">
        <v>177</v>
      </c>
      <c r="AD8" s="3" t="s">
        <v>178</v>
      </c>
      <c r="AE8" s="3" t="s">
        <v>179</v>
      </c>
      <c r="AF8" s="18" t="s">
        <v>28</v>
      </c>
      <c r="AJ8" s="17" t="s">
        <v>21</v>
      </c>
      <c r="AK8" s="3" t="s">
        <v>23</v>
      </c>
      <c r="AM8" s="19" t="s">
        <v>25</v>
      </c>
      <c r="AN8" s="19" t="s">
        <v>29</v>
      </c>
    </row>
    <row r="9" spans="2:42" ht="12.75">
      <c r="B9" s="67" t="s">
        <v>162</v>
      </c>
      <c r="D9" s="8">
        <v>1</v>
      </c>
      <c r="E9" s="9">
        <v>1</v>
      </c>
      <c r="F9" s="9">
        <v>2</v>
      </c>
      <c r="G9" s="9">
        <v>0</v>
      </c>
      <c r="H9" s="9">
        <v>1</v>
      </c>
      <c r="I9" s="10" t="str">
        <f aca="true" t="shared" si="0" ref="I9:I30">LOOKUP(Econ2_From,Econ2_Nodes,Econ2_Node_Name)</f>
        <v>Decide to Test</v>
      </c>
      <c r="J9" s="10" t="str">
        <f aca="true" t="shared" si="1" ref="J9:J30">LOOKUP(Econ2_To,Econ2_Nodes,Econ2_Node_Name)</f>
        <v>Do Test</v>
      </c>
      <c r="K9" s="11" t="str">
        <f aca="true" t="shared" si="2" ref="K9:K30">J9</f>
        <v>Do Test</v>
      </c>
      <c r="L9" s="12">
        <f aca="true" t="shared" si="3" ref="L9:L30">Econ2_Prob*(LOOKUP(Econ2_To,Econ2_Nodes,Econ2_Node_Value))</f>
        <v>0.726673766579043</v>
      </c>
      <c r="N9" s="8">
        <v>1</v>
      </c>
      <c r="O9" s="8" t="s">
        <v>203</v>
      </c>
      <c r="P9" s="13" t="s">
        <v>153</v>
      </c>
      <c r="Q9" s="9">
        <v>0</v>
      </c>
      <c r="R9" s="38">
        <f aca="true" t="shared" si="4" ref="R9:R23">IF(Econ2_Node_Type="T",(1-EXP(-(Q9-Econ2_Util_Min)/Econ2_Util_Param))/Econ2_Util_Norm,"")</f>
      </c>
      <c r="S9" s="12">
        <f aca="true" t="shared" si="5" ref="S9:S23">IF(Econ2_Node_Type="T",Econ2_Node_Utility,SUMIF(Econ2_From,N9,Econ2_Total))</f>
        <v>0.726673766579043</v>
      </c>
      <c r="T9" s="38">
        <f aca="true" t="shared" si="6" ref="T9:T23">Econ2_Util_Min+-Econ2_Util_Param*LN(1-S9*Econ2_Util_Norm)</f>
        <v>1228.4370227307109</v>
      </c>
      <c r="U9" s="14">
        <v>1</v>
      </c>
      <c r="V9" s="10" t="str">
        <f aca="true" t="shared" si="7" ref="V9:V23">IF(Econ2_Node_Type="D",LOOKUP(U9,Econ2_Arcs,Econ2_Arc_Name),"")</f>
        <v>Do Test</v>
      </c>
      <c r="W9" s="14">
        <v>0</v>
      </c>
      <c r="X9" s="14">
        <v>0</v>
      </c>
      <c r="Z9" s="2" t="s">
        <v>23</v>
      </c>
      <c r="AA9" s="3" t="s">
        <v>240</v>
      </c>
      <c r="AB9" s="9">
        <v>0.95</v>
      </c>
      <c r="AC9" s="9">
        <v>0.85</v>
      </c>
      <c r="AD9" s="9">
        <v>0.3</v>
      </c>
      <c r="AE9" s="9">
        <v>0.05</v>
      </c>
      <c r="AF9" s="21">
        <f>SUMPRODUCT(AB9:AE9,$AB$11:$AE$11)</f>
        <v>0.6575</v>
      </c>
      <c r="AJ9" s="18" t="s">
        <v>237</v>
      </c>
      <c r="AK9" s="3" t="s">
        <v>240</v>
      </c>
      <c r="AL9" s="3" t="s">
        <v>241</v>
      </c>
      <c r="AM9" s="18" t="s">
        <v>238</v>
      </c>
      <c r="AN9" s="18" t="s">
        <v>239</v>
      </c>
      <c r="AO9" s="5" t="str">
        <f>AK9</f>
        <v>F</v>
      </c>
      <c r="AP9" s="5" t="str">
        <f>AL9</f>
        <v>NF</v>
      </c>
    </row>
    <row r="10" spans="4:42" ht="12.75">
      <c r="D10" s="8">
        <v>2</v>
      </c>
      <c r="E10" s="9">
        <v>1</v>
      </c>
      <c r="F10" s="9">
        <v>3</v>
      </c>
      <c r="G10" s="9">
        <v>0</v>
      </c>
      <c r="H10" s="9">
        <v>0</v>
      </c>
      <c r="I10" s="10" t="str">
        <f t="shared" si="0"/>
        <v>Decide to Test</v>
      </c>
      <c r="J10" s="10" t="str">
        <f t="shared" si="1"/>
        <v>No Test</v>
      </c>
      <c r="K10" s="11" t="str">
        <f t="shared" si="2"/>
        <v>No Test</v>
      </c>
      <c r="L10" s="12">
        <f t="shared" si="3"/>
        <v>0</v>
      </c>
      <c r="N10" s="8">
        <v>2</v>
      </c>
      <c r="O10" s="8" t="s">
        <v>204</v>
      </c>
      <c r="P10" s="13" t="s">
        <v>166</v>
      </c>
      <c r="Q10" s="9">
        <v>0</v>
      </c>
      <c r="R10" s="38">
        <f t="shared" si="4"/>
      </c>
      <c r="S10" s="12">
        <f t="shared" si="5"/>
        <v>0.726673766579043</v>
      </c>
      <c r="T10" s="38">
        <f t="shared" si="6"/>
        <v>1228.4370227307109</v>
      </c>
      <c r="U10" s="14"/>
      <c r="V10" s="10">
        <f t="shared" si="7"/>
      </c>
      <c r="W10" s="14">
        <v>1</v>
      </c>
      <c r="X10" s="14">
        <v>0</v>
      </c>
      <c r="Z10" s="2"/>
      <c r="AA10" s="3" t="s">
        <v>241</v>
      </c>
      <c r="AB10" s="12">
        <f>1-SUM(AB9:AB9)</f>
        <v>0.050000000000000044</v>
      </c>
      <c r="AC10" s="12">
        <f>1-SUM(AC9:AC9)</f>
        <v>0.15000000000000002</v>
      </c>
      <c r="AD10" s="12">
        <f>1-SUM(AD9:AD9)</f>
        <v>0.7</v>
      </c>
      <c r="AE10" s="12">
        <f>1-SUM(AE9:AE9)</f>
        <v>0.95</v>
      </c>
      <c r="AF10" s="21">
        <f>SUMPRODUCT(AB10:AE10,$AB$11:$AE$11)</f>
        <v>0.34249999999999997</v>
      </c>
      <c r="AI10" s="2" t="s">
        <v>236</v>
      </c>
      <c r="AJ10" s="3" t="s">
        <v>176</v>
      </c>
      <c r="AK10" s="9">
        <v>0.95</v>
      </c>
      <c r="AL10" s="12">
        <f>1-SUM(AK10:AK10)</f>
        <v>0.050000000000000044</v>
      </c>
      <c r="AM10" s="9">
        <v>0.25</v>
      </c>
      <c r="AN10" s="5" t="str">
        <f>AJ10</f>
        <v>S_90</v>
      </c>
      <c r="AO10" s="12">
        <f aca="true" t="shared" si="8" ref="AO10:AP13">AK10*$AM10/AK$14</f>
        <v>0.3612167300380228</v>
      </c>
      <c r="AP10" s="12">
        <f t="shared" si="8"/>
        <v>0.03649635036496354</v>
      </c>
    </row>
    <row r="11" spans="2:42" ht="12.75">
      <c r="B11" s="67" t="s">
        <v>163</v>
      </c>
      <c r="D11" s="8">
        <v>3</v>
      </c>
      <c r="E11" s="9">
        <v>2</v>
      </c>
      <c r="F11" s="9">
        <v>6</v>
      </c>
      <c r="G11" s="9">
        <v>1</v>
      </c>
      <c r="H11" s="9">
        <f>INDEX(Econ2_B_Marginal,G11)</f>
        <v>0.6575</v>
      </c>
      <c r="I11" s="10" t="str">
        <f t="shared" si="0"/>
        <v>Do Test</v>
      </c>
      <c r="J11" s="10" t="str">
        <f t="shared" si="1"/>
        <v>Test Fav.</v>
      </c>
      <c r="K11" s="11" t="str">
        <f t="shared" si="2"/>
        <v>Test Fav.</v>
      </c>
      <c r="L11" s="12">
        <f t="shared" si="3"/>
        <v>0.5371214932833502</v>
      </c>
      <c r="N11" s="8">
        <v>3</v>
      </c>
      <c r="O11" s="8" t="s">
        <v>205</v>
      </c>
      <c r="P11" s="13" t="s">
        <v>153</v>
      </c>
      <c r="Q11" s="9">
        <v>0</v>
      </c>
      <c r="R11" s="38">
        <f t="shared" si="4"/>
      </c>
      <c r="S11" s="12">
        <f t="shared" si="5"/>
        <v>0.6790830321153051</v>
      </c>
      <c r="T11" s="38">
        <f t="shared" si="6"/>
        <v>875.6592688929595</v>
      </c>
      <c r="U11" s="14">
        <v>6</v>
      </c>
      <c r="V11" s="10" t="str">
        <f t="shared" si="7"/>
        <v>NT New</v>
      </c>
      <c r="W11" s="14">
        <v>1</v>
      </c>
      <c r="X11" s="14">
        <v>1</v>
      </c>
      <c r="Z11" s="49" t="s">
        <v>25</v>
      </c>
      <c r="AA11" s="18" t="s">
        <v>238</v>
      </c>
      <c r="AB11" s="9">
        <v>0.25</v>
      </c>
      <c r="AC11" s="9">
        <v>0.4</v>
      </c>
      <c r="AD11" s="9">
        <v>0.25</v>
      </c>
      <c r="AE11" s="20">
        <f>1-SUM(AB11:AD11)</f>
        <v>0.09999999999999998</v>
      </c>
      <c r="AI11" s="2"/>
      <c r="AJ11" s="3" t="s">
        <v>177</v>
      </c>
      <c r="AK11" s="9">
        <v>0.85</v>
      </c>
      <c r="AL11" s="12">
        <f>1-SUM(AK11:AK11)</f>
        <v>0.15000000000000002</v>
      </c>
      <c r="AM11" s="9">
        <v>0.4</v>
      </c>
      <c r="AN11" s="5" t="str">
        <f>AJ11</f>
        <v>S_70</v>
      </c>
      <c r="AO11" s="12">
        <f t="shared" si="8"/>
        <v>0.5171102661596959</v>
      </c>
      <c r="AP11" s="12">
        <f t="shared" si="8"/>
        <v>0.17518248175182485</v>
      </c>
    </row>
    <row r="12" spans="4:42" ht="12.75">
      <c r="D12" s="8">
        <v>4</v>
      </c>
      <c r="E12" s="9">
        <v>2</v>
      </c>
      <c r="F12" s="9">
        <v>7</v>
      </c>
      <c r="G12" s="9">
        <v>2</v>
      </c>
      <c r="H12" s="9">
        <f>INDEX(Econ2_B_Marginal,G12)</f>
        <v>0.34249999999999997</v>
      </c>
      <c r="I12" s="10" t="str">
        <f t="shared" si="0"/>
        <v>Do Test</v>
      </c>
      <c r="J12" s="10" t="str">
        <f t="shared" si="1"/>
        <v>Test Not Fav.</v>
      </c>
      <c r="K12" s="11" t="str">
        <f t="shared" si="2"/>
        <v>Test Not Fav.</v>
      </c>
      <c r="L12" s="12">
        <f t="shared" si="3"/>
        <v>0.18955227329569282</v>
      </c>
      <c r="N12" s="8">
        <v>4</v>
      </c>
      <c r="O12" s="8" t="s">
        <v>206</v>
      </c>
      <c r="P12" s="13" t="s">
        <v>152</v>
      </c>
      <c r="Q12" s="9">
        <v>0</v>
      </c>
      <c r="R12" s="38">
        <f t="shared" si="4"/>
        <v>0.5534372942939937</v>
      </c>
      <c r="S12" s="12">
        <f t="shared" si="5"/>
        <v>0.5534372942939937</v>
      </c>
      <c r="T12" s="38">
        <f t="shared" si="6"/>
        <v>0</v>
      </c>
      <c r="U12" s="14"/>
      <c r="V12" s="10">
        <f t="shared" si="7"/>
      </c>
      <c r="W12" s="14">
        <v>2</v>
      </c>
      <c r="X12" s="14">
        <v>2</v>
      </c>
      <c r="Z12" s="49" t="s">
        <v>29</v>
      </c>
      <c r="AA12" s="18" t="s">
        <v>239</v>
      </c>
      <c r="AB12" s="5" t="str">
        <f>AB8</f>
        <v>S_90</v>
      </c>
      <c r="AC12" s="5" t="str">
        <f>AC8</f>
        <v>S_70</v>
      </c>
      <c r="AD12" s="5" t="str">
        <f>AD8</f>
        <v>S_50</v>
      </c>
      <c r="AE12" s="5" t="str">
        <f>AE8</f>
        <v>S_30</v>
      </c>
      <c r="AI12" s="2"/>
      <c r="AJ12" s="3" t="s">
        <v>178</v>
      </c>
      <c r="AK12" s="9">
        <v>0.3</v>
      </c>
      <c r="AL12" s="12">
        <f>1-SUM(AK12:AK12)</f>
        <v>0.7</v>
      </c>
      <c r="AM12" s="9">
        <v>0.25</v>
      </c>
      <c r="AN12" s="5" t="str">
        <f>AJ12</f>
        <v>S_50</v>
      </c>
      <c r="AO12" s="12">
        <f t="shared" si="8"/>
        <v>0.11406844106463879</v>
      </c>
      <c r="AP12" s="12">
        <f t="shared" si="8"/>
        <v>0.5109489051094891</v>
      </c>
    </row>
    <row r="13" spans="4:42" ht="12.75">
      <c r="D13" s="8">
        <v>5</v>
      </c>
      <c r="E13" s="9">
        <v>3</v>
      </c>
      <c r="F13" s="9">
        <v>4</v>
      </c>
      <c r="G13" s="9">
        <v>0</v>
      </c>
      <c r="H13" s="9">
        <v>0</v>
      </c>
      <c r="I13" s="10" t="str">
        <f t="shared" si="0"/>
        <v>No Test</v>
      </c>
      <c r="J13" s="10" t="str">
        <f t="shared" si="1"/>
        <v>NT Current</v>
      </c>
      <c r="K13" s="11" t="str">
        <f t="shared" si="2"/>
        <v>NT Current</v>
      </c>
      <c r="L13" s="12">
        <f t="shared" si="3"/>
        <v>0</v>
      </c>
      <c r="N13" s="8">
        <v>5</v>
      </c>
      <c r="O13" s="8" t="s">
        <v>207</v>
      </c>
      <c r="P13" s="13" t="s">
        <v>166</v>
      </c>
      <c r="Q13" s="9">
        <v>0</v>
      </c>
      <c r="R13" s="38">
        <f t="shared" si="4"/>
      </c>
      <c r="S13" s="12">
        <f t="shared" si="5"/>
        <v>0.6790830321153051</v>
      </c>
      <c r="T13" s="38">
        <f t="shared" si="6"/>
        <v>875.6592688929595</v>
      </c>
      <c r="U13" s="14"/>
      <c r="V13" s="10">
        <f t="shared" si="7"/>
      </c>
      <c r="W13" s="14">
        <v>2</v>
      </c>
      <c r="X13" s="14">
        <v>3</v>
      </c>
      <c r="AA13" s="5" t="str">
        <f>AA9</f>
        <v>F</v>
      </c>
      <c r="AB13" s="12">
        <f>AB9*AB$11/$AF9</f>
        <v>0.3612167300380228</v>
      </c>
      <c r="AC13" s="12">
        <f aca="true" t="shared" si="9" ref="AC13:AE14">AC9*AC$11/$AF9</f>
        <v>0.5171102661596959</v>
      </c>
      <c r="AD13" s="12">
        <f t="shared" si="9"/>
        <v>0.11406844106463879</v>
      </c>
      <c r="AE13" s="12">
        <f t="shared" si="9"/>
        <v>0.007604562737642585</v>
      </c>
      <c r="AI13" s="2"/>
      <c r="AJ13" s="3" t="s">
        <v>179</v>
      </c>
      <c r="AK13" s="9">
        <v>0.05</v>
      </c>
      <c r="AL13" s="12">
        <f>1-SUM(AK13:AK13)</f>
        <v>0.95</v>
      </c>
      <c r="AM13" s="20">
        <f>1-SUM(AM10:AM12)</f>
        <v>0.09999999999999998</v>
      </c>
      <c r="AN13" s="5" t="str">
        <f>AJ13</f>
        <v>S_30</v>
      </c>
      <c r="AO13" s="12">
        <f t="shared" si="8"/>
        <v>0.007604562737642585</v>
      </c>
      <c r="AP13" s="12">
        <f t="shared" si="8"/>
        <v>0.27737226277372257</v>
      </c>
    </row>
    <row r="14" spans="4:38" ht="12.75">
      <c r="D14" s="8">
        <v>6</v>
      </c>
      <c r="E14" s="9">
        <v>3</v>
      </c>
      <c r="F14" s="9">
        <v>5</v>
      </c>
      <c r="G14" s="9">
        <v>0</v>
      </c>
      <c r="H14" s="9">
        <v>1</v>
      </c>
      <c r="I14" s="10" t="str">
        <f t="shared" si="0"/>
        <v>No Test</v>
      </c>
      <c r="J14" s="10" t="str">
        <f t="shared" si="1"/>
        <v>NT New</v>
      </c>
      <c r="K14" s="11" t="str">
        <f t="shared" si="2"/>
        <v>NT New</v>
      </c>
      <c r="L14" s="12">
        <f t="shared" si="3"/>
        <v>0.6790830321153051</v>
      </c>
      <c r="N14" s="8">
        <v>6</v>
      </c>
      <c r="O14" s="8" t="s">
        <v>208</v>
      </c>
      <c r="P14" s="13" t="s">
        <v>153</v>
      </c>
      <c r="Q14" s="9">
        <v>0</v>
      </c>
      <c r="R14" s="38">
        <f t="shared" si="4"/>
      </c>
      <c r="S14" s="12">
        <f t="shared" si="5"/>
        <v>0.8169148186819015</v>
      </c>
      <c r="T14" s="38">
        <f t="shared" si="6"/>
        <v>1933.5980895833463</v>
      </c>
      <c r="U14" s="14">
        <v>12</v>
      </c>
      <c r="V14" s="10" t="str">
        <f t="shared" si="7"/>
        <v>T Fav. New</v>
      </c>
      <c r="W14" s="14">
        <v>2</v>
      </c>
      <c r="X14" s="14">
        <v>0</v>
      </c>
      <c r="AA14" s="5" t="str">
        <f>AA10</f>
        <v>NF</v>
      </c>
      <c r="AB14" s="12">
        <f>AB10*AB$11/$AF10</f>
        <v>0.03649635036496354</v>
      </c>
      <c r="AC14" s="12">
        <f t="shared" si="9"/>
        <v>0.17518248175182485</v>
      </c>
      <c r="AD14" s="12">
        <f t="shared" si="9"/>
        <v>0.5109489051094891</v>
      </c>
      <c r="AE14" s="12">
        <f t="shared" si="9"/>
        <v>0.27737226277372257</v>
      </c>
      <c r="AI14" s="49" t="s">
        <v>27</v>
      </c>
      <c r="AJ14" s="18" t="s">
        <v>28</v>
      </c>
      <c r="AK14" s="21">
        <f>SUMPRODUCT(AK10:AK13,$AM$10:$AM$13)</f>
        <v>0.6575</v>
      </c>
      <c r="AL14" s="21">
        <f>SUMPRODUCT(AL10:AL13,$AM$10:$AM$13)</f>
        <v>0.34249999999999997</v>
      </c>
    </row>
    <row r="15" spans="4:24" ht="12.75">
      <c r="D15" s="8">
        <v>7</v>
      </c>
      <c r="E15" s="9">
        <v>5</v>
      </c>
      <c r="F15" s="9">
        <v>12</v>
      </c>
      <c r="G15" s="9">
        <v>1</v>
      </c>
      <c r="H15" s="9">
        <f>INDEX(Econ2_B_Prior,1,G15)</f>
        <v>0.25</v>
      </c>
      <c r="I15" s="10" t="str">
        <f t="shared" si="0"/>
        <v>NT New</v>
      </c>
      <c r="J15" s="10" t="str">
        <f t="shared" si="1"/>
        <v>Z1_90</v>
      </c>
      <c r="K15" s="11" t="str">
        <f t="shared" si="2"/>
        <v>Z1_90</v>
      </c>
      <c r="L15" s="12">
        <f t="shared" si="3"/>
        <v>0.25</v>
      </c>
      <c r="N15" s="8">
        <v>7</v>
      </c>
      <c r="O15" s="8" t="s">
        <v>209</v>
      </c>
      <c r="P15" s="13" t="s">
        <v>153</v>
      </c>
      <c r="Q15" s="9">
        <v>0</v>
      </c>
      <c r="R15" s="38">
        <f t="shared" si="4"/>
      </c>
      <c r="S15" s="12">
        <f t="shared" si="5"/>
        <v>0.5534372942939937</v>
      </c>
      <c r="T15" s="38">
        <f t="shared" si="6"/>
        <v>0</v>
      </c>
      <c r="U15" s="14">
        <v>13</v>
      </c>
      <c r="V15" s="10" t="str">
        <f t="shared" si="7"/>
        <v>T Not Fav. Curr.</v>
      </c>
      <c r="W15" s="14">
        <v>2</v>
      </c>
      <c r="X15" s="14">
        <v>1</v>
      </c>
    </row>
    <row r="16" spans="4:24" ht="12.75">
      <c r="D16" s="8">
        <v>8</v>
      </c>
      <c r="E16" s="9">
        <v>5</v>
      </c>
      <c r="F16" s="9">
        <v>13</v>
      </c>
      <c r="G16" s="9">
        <v>2</v>
      </c>
      <c r="H16" s="9">
        <f>INDEX(Econ2_B_Prior,1,G16)</f>
        <v>0.4</v>
      </c>
      <c r="I16" s="10" t="str">
        <f t="shared" si="0"/>
        <v>NT New</v>
      </c>
      <c r="J16" s="10" t="str">
        <f t="shared" si="1"/>
        <v>Z2_70</v>
      </c>
      <c r="K16" s="11" t="str">
        <f t="shared" si="2"/>
        <v>Z2_70</v>
      </c>
      <c r="L16" s="12">
        <f t="shared" si="3"/>
        <v>0.3107210611795614</v>
      </c>
      <c r="N16" s="8">
        <v>8</v>
      </c>
      <c r="O16" s="8" t="s">
        <v>210</v>
      </c>
      <c r="P16" s="13" t="s">
        <v>152</v>
      </c>
      <c r="Q16" s="9">
        <v>0</v>
      </c>
      <c r="R16" s="38">
        <f t="shared" si="4"/>
        <v>0.5534372942939937</v>
      </c>
      <c r="S16" s="12">
        <f t="shared" si="5"/>
        <v>0.5534372942939937</v>
      </c>
      <c r="T16" s="38">
        <f t="shared" si="6"/>
        <v>0</v>
      </c>
      <c r="U16" s="14"/>
      <c r="V16" s="10">
        <f t="shared" si="7"/>
      </c>
      <c r="W16" s="14">
        <v>3</v>
      </c>
      <c r="X16" s="14">
        <v>0</v>
      </c>
    </row>
    <row r="17" spans="4:24" ht="12.75">
      <c r="D17" s="8">
        <v>9</v>
      </c>
      <c r="E17" s="9">
        <v>5</v>
      </c>
      <c r="F17" s="9">
        <v>14</v>
      </c>
      <c r="G17" s="9">
        <v>3</v>
      </c>
      <c r="H17" s="9">
        <f>INDEX(Econ2_B_Prior,1,G17)</f>
        <v>0.25</v>
      </c>
      <c r="I17" s="10" t="str">
        <f t="shared" si="0"/>
        <v>NT New</v>
      </c>
      <c r="J17" s="10" t="str">
        <f t="shared" si="1"/>
        <v>Z3_50</v>
      </c>
      <c r="K17" s="11" t="str">
        <f t="shared" si="2"/>
        <v>Z3_50</v>
      </c>
      <c r="L17" s="12">
        <f t="shared" si="3"/>
        <v>0.11836197093574365</v>
      </c>
      <c r="N17" s="8">
        <v>9</v>
      </c>
      <c r="O17" s="8" t="s">
        <v>211</v>
      </c>
      <c r="P17" s="13" t="s">
        <v>166</v>
      </c>
      <c r="Q17" s="9">
        <v>0</v>
      </c>
      <c r="R17" s="38">
        <f t="shared" si="4"/>
      </c>
      <c r="S17" s="12">
        <f t="shared" si="5"/>
        <v>0.8169148186819015</v>
      </c>
      <c r="T17" s="38">
        <f t="shared" si="6"/>
        <v>1933.5980895833463</v>
      </c>
      <c r="U17" s="14"/>
      <c r="V17" s="10">
        <f t="shared" si="7"/>
      </c>
      <c r="W17" s="14">
        <v>3</v>
      </c>
      <c r="X17" s="14">
        <v>1</v>
      </c>
    </row>
    <row r="18" spans="4:24" ht="12.75">
      <c r="D18" s="8">
        <v>10</v>
      </c>
      <c r="E18" s="9">
        <v>5</v>
      </c>
      <c r="F18" s="9">
        <v>15</v>
      </c>
      <c r="G18" s="9">
        <v>4</v>
      </c>
      <c r="H18" s="9">
        <f>INDEX(Econ2_B_Prior,1,G18)</f>
        <v>0.09999999999999998</v>
      </c>
      <c r="I18" s="10" t="str">
        <f t="shared" si="0"/>
        <v>NT New</v>
      </c>
      <c r="J18" s="10" t="str">
        <f t="shared" si="1"/>
        <v>Z4_30</v>
      </c>
      <c r="K18" s="11" t="str">
        <f t="shared" si="2"/>
        <v>Z4_30</v>
      </c>
      <c r="L18" s="12">
        <f t="shared" si="3"/>
        <v>0</v>
      </c>
      <c r="N18" s="8">
        <v>10</v>
      </c>
      <c r="O18" s="8" t="s">
        <v>105</v>
      </c>
      <c r="P18" s="13" t="s">
        <v>152</v>
      </c>
      <c r="Q18" s="9">
        <v>0</v>
      </c>
      <c r="R18" s="38">
        <f t="shared" si="4"/>
        <v>0.5534372942939937</v>
      </c>
      <c r="S18" s="12">
        <f t="shared" si="5"/>
        <v>0.5534372942939937</v>
      </c>
      <c r="T18" s="38">
        <f t="shared" si="6"/>
        <v>0</v>
      </c>
      <c r="U18" s="14"/>
      <c r="V18" s="10">
        <f t="shared" si="7"/>
      </c>
      <c r="W18" s="14">
        <v>3</v>
      </c>
      <c r="X18" s="14">
        <v>2</v>
      </c>
    </row>
    <row r="19" spans="4:24" ht="12.75">
      <c r="D19" s="8">
        <v>11</v>
      </c>
      <c r="E19" s="9">
        <v>6</v>
      </c>
      <c r="F19" s="9">
        <v>8</v>
      </c>
      <c r="G19" s="9">
        <v>0</v>
      </c>
      <c r="H19" s="9">
        <v>0</v>
      </c>
      <c r="I19" s="10" t="str">
        <f t="shared" si="0"/>
        <v>Test Fav.</v>
      </c>
      <c r="J19" s="10" t="str">
        <f t="shared" si="1"/>
        <v>T Fav. Curr.</v>
      </c>
      <c r="K19" s="11" t="str">
        <f t="shared" si="2"/>
        <v>T Fav. Curr.</v>
      </c>
      <c r="L19" s="12">
        <f t="shared" si="3"/>
        <v>0</v>
      </c>
      <c r="N19" s="8">
        <v>11</v>
      </c>
      <c r="O19" s="8" t="s">
        <v>106</v>
      </c>
      <c r="P19" s="13" t="s">
        <v>166</v>
      </c>
      <c r="Q19" s="9">
        <v>0</v>
      </c>
      <c r="R19" s="38">
        <f t="shared" si="4"/>
      </c>
      <c r="S19" s="12">
        <f t="shared" si="5"/>
        <v>0.4144862447648315</v>
      </c>
      <c r="T19" s="38">
        <f t="shared" si="6"/>
        <v>-886.6996976886517</v>
      </c>
      <c r="U19" s="14"/>
      <c r="V19" s="10">
        <f t="shared" si="7"/>
      </c>
      <c r="W19" s="14">
        <v>3</v>
      </c>
      <c r="X19" s="14">
        <v>3</v>
      </c>
    </row>
    <row r="20" spans="4:24" ht="12.75">
      <c r="D20" s="8">
        <v>12</v>
      </c>
      <c r="E20" s="9">
        <v>6</v>
      </c>
      <c r="F20" s="9">
        <v>9</v>
      </c>
      <c r="G20" s="9">
        <v>0</v>
      </c>
      <c r="H20" s="9">
        <v>1</v>
      </c>
      <c r="I20" s="10" t="str">
        <f t="shared" si="0"/>
        <v>Test Fav.</v>
      </c>
      <c r="J20" s="10" t="str">
        <f t="shared" si="1"/>
        <v>T Fav. New</v>
      </c>
      <c r="K20" s="11" t="str">
        <f t="shared" si="2"/>
        <v>T Fav. New</v>
      </c>
      <c r="L20" s="12">
        <f t="shared" si="3"/>
        <v>0.8169148186819015</v>
      </c>
      <c r="N20" s="8">
        <v>12</v>
      </c>
      <c r="O20" s="8" t="s">
        <v>107</v>
      </c>
      <c r="P20" s="13" t="s">
        <v>152</v>
      </c>
      <c r="Q20" s="9">
        <v>3538</v>
      </c>
      <c r="R20" s="38">
        <f t="shared" si="4"/>
        <v>1</v>
      </c>
      <c r="S20" s="12">
        <f t="shared" si="5"/>
        <v>1</v>
      </c>
      <c r="T20" s="38">
        <f t="shared" si="6"/>
        <v>3538</v>
      </c>
      <c r="U20" s="14"/>
      <c r="V20" s="10">
        <f t="shared" si="7"/>
      </c>
      <c r="W20" s="14">
        <v>4</v>
      </c>
      <c r="X20" s="14">
        <v>0</v>
      </c>
    </row>
    <row r="21" spans="4:24" ht="12.75">
      <c r="D21" s="8">
        <v>13</v>
      </c>
      <c r="E21" s="9">
        <v>7</v>
      </c>
      <c r="F21" s="9">
        <v>10</v>
      </c>
      <c r="G21" s="9">
        <v>0</v>
      </c>
      <c r="H21" s="9">
        <v>1</v>
      </c>
      <c r="I21" s="10" t="str">
        <f t="shared" si="0"/>
        <v>Test Not Fav.</v>
      </c>
      <c r="J21" s="10" t="str">
        <f t="shared" si="1"/>
        <v>T Not Fav. Curr.</v>
      </c>
      <c r="K21" s="11" t="str">
        <f t="shared" si="2"/>
        <v>T Not Fav. Curr.</v>
      </c>
      <c r="L21" s="12">
        <f t="shared" si="3"/>
        <v>0.5534372942939937</v>
      </c>
      <c r="N21" s="8">
        <v>13</v>
      </c>
      <c r="O21" s="8" t="s">
        <v>108</v>
      </c>
      <c r="P21" s="13" t="s">
        <v>152</v>
      </c>
      <c r="Q21" s="9">
        <v>1614</v>
      </c>
      <c r="R21" s="38">
        <f t="shared" si="4"/>
        <v>0.7768026529489034</v>
      </c>
      <c r="S21" s="12">
        <f t="shared" si="5"/>
        <v>0.7768026529489034</v>
      </c>
      <c r="T21" s="38">
        <f t="shared" si="6"/>
        <v>1613.999999999999</v>
      </c>
      <c r="U21" s="14"/>
      <c r="V21" s="10">
        <f t="shared" si="7"/>
      </c>
      <c r="W21" s="14">
        <v>4</v>
      </c>
      <c r="X21" s="14">
        <v>1</v>
      </c>
    </row>
    <row r="22" spans="4:24" ht="12.75">
      <c r="D22" s="8">
        <v>14</v>
      </c>
      <c r="E22" s="9">
        <v>7</v>
      </c>
      <c r="F22" s="9">
        <v>11</v>
      </c>
      <c r="G22" s="9">
        <v>0</v>
      </c>
      <c r="H22" s="9">
        <v>0</v>
      </c>
      <c r="I22" s="10" t="str">
        <f t="shared" si="0"/>
        <v>Test Not Fav.</v>
      </c>
      <c r="J22" s="10" t="str">
        <f t="shared" si="1"/>
        <v>T Not Fav. New</v>
      </c>
      <c r="K22" s="11" t="str">
        <f t="shared" si="2"/>
        <v>T Not Fav. New</v>
      </c>
      <c r="L22" s="12">
        <f t="shared" si="3"/>
        <v>0</v>
      </c>
      <c r="N22" s="8">
        <v>14</v>
      </c>
      <c r="O22" s="8" t="s">
        <v>109</v>
      </c>
      <c r="P22" s="13" t="s">
        <v>152</v>
      </c>
      <c r="Q22" s="9">
        <v>-520</v>
      </c>
      <c r="R22" s="38">
        <f t="shared" si="4"/>
        <v>0.4734478837429746</v>
      </c>
      <c r="S22" s="12">
        <f t="shared" si="5"/>
        <v>0.4734478837429746</v>
      </c>
      <c r="T22" s="38">
        <f t="shared" si="6"/>
        <v>-519.9999999999995</v>
      </c>
      <c r="U22" s="14"/>
      <c r="V22" s="10">
        <f t="shared" si="7"/>
      </c>
      <c r="W22" s="14">
        <v>4</v>
      </c>
      <c r="X22" s="14">
        <v>2</v>
      </c>
    </row>
    <row r="23" spans="4:24" ht="12.75">
      <c r="D23" s="8">
        <v>15</v>
      </c>
      <c r="E23" s="9">
        <v>9</v>
      </c>
      <c r="F23" s="9">
        <v>12</v>
      </c>
      <c r="G23" s="9">
        <v>1</v>
      </c>
      <c r="H23" s="9">
        <f>INDEX(Econ2_B_Posterior,1,G23)</f>
        <v>0.3612167300380228</v>
      </c>
      <c r="I23" s="10" t="str">
        <f t="shared" si="0"/>
        <v>T Fav. New</v>
      </c>
      <c r="J23" s="10" t="str">
        <f t="shared" si="1"/>
        <v>Z1_90</v>
      </c>
      <c r="K23" s="11" t="str">
        <f t="shared" si="2"/>
        <v>Z1_90</v>
      </c>
      <c r="L23" s="12">
        <f t="shared" si="3"/>
        <v>0.3612167300380228</v>
      </c>
      <c r="N23" s="8">
        <v>15</v>
      </c>
      <c r="O23" s="8" t="s">
        <v>110</v>
      </c>
      <c r="P23" s="13" t="s">
        <v>152</v>
      </c>
      <c r="Q23" s="9">
        <v>-3143</v>
      </c>
      <c r="R23" s="38">
        <f t="shared" si="4"/>
        <v>0</v>
      </c>
      <c r="S23" s="12">
        <f t="shared" si="5"/>
        <v>0</v>
      </c>
      <c r="T23" s="38">
        <f t="shared" si="6"/>
        <v>-3143</v>
      </c>
      <c r="U23" s="14"/>
      <c r="V23" s="10">
        <f t="shared" si="7"/>
      </c>
      <c r="W23" s="14">
        <v>4</v>
      </c>
      <c r="X23" s="14">
        <v>3</v>
      </c>
    </row>
    <row r="24" spans="4:12" ht="12.75">
      <c r="D24" s="8">
        <v>16</v>
      </c>
      <c r="E24" s="9">
        <v>9</v>
      </c>
      <c r="F24" s="9">
        <v>13</v>
      </c>
      <c r="G24" s="9">
        <v>2</v>
      </c>
      <c r="H24" s="9">
        <f>INDEX(Econ2_B_Posterior,1,G24)</f>
        <v>0.5171102661596959</v>
      </c>
      <c r="I24" s="10" t="str">
        <f t="shared" si="0"/>
        <v>T Fav. New</v>
      </c>
      <c r="J24" s="10" t="str">
        <f t="shared" si="1"/>
        <v>Z2_70</v>
      </c>
      <c r="K24" s="11" t="str">
        <f t="shared" si="2"/>
        <v>Z2_70</v>
      </c>
      <c r="L24" s="12">
        <f t="shared" si="3"/>
        <v>0.4016926266199653</v>
      </c>
    </row>
    <row r="25" spans="4:12" ht="12.75">
      <c r="D25" s="8">
        <v>17</v>
      </c>
      <c r="E25" s="9">
        <v>9</v>
      </c>
      <c r="F25" s="9">
        <v>14</v>
      </c>
      <c r="G25" s="9">
        <v>3</v>
      </c>
      <c r="H25" s="9">
        <f>INDEX(Econ2_B_Posterior,1,G25)</f>
        <v>0.11406844106463879</v>
      </c>
      <c r="I25" s="10" t="str">
        <f t="shared" si="0"/>
        <v>T Fav. New</v>
      </c>
      <c r="J25" s="10" t="str">
        <f t="shared" si="1"/>
        <v>Z3_50</v>
      </c>
      <c r="K25" s="11" t="str">
        <f t="shared" si="2"/>
        <v>Z3_50</v>
      </c>
      <c r="L25" s="12">
        <f t="shared" si="3"/>
        <v>0.05400546202391345</v>
      </c>
    </row>
    <row r="26" spans="4:12" ht="12.75">
      <c r="D26" s="8">
        <v>18</v>
      </c>
      <c r="E26" s="9">
        <v>9</v>
      </c>
      <c r="F26" s="9">
        <v>15</v>
      </c>
      <c r="G26" s="9">
        <v>4</v>
      </c>
      <c r="H26" s="9">
        <f>INDEX(Econ2_B_Posterior,1,G26)</f>
        <v>0.007604562737642585</v>
      </c>
      <c r="I26" s="10" t="str">
        <f t="shared" si="0"/>
        <v>T Fav. New</v>
      </c>
      <c r="J26" s="10" t="str">
        <f t="shared" si="1"/>
        <v>Z4_30</v>
      </c>
      <c r="K26" s="11" t="str">
        <f t="shared" si="2"/>
        <v>Z4_30</v>
      </c>
      <c r="L26" s="12">
        <f t="shared" si="3"/>
        <v>0</v>
      </c>
    </row>
    <row r="27" spans="4:12" ht="12.75">
      <c r="D27" s="8">
        <v>19</v>
      </c>
      <c r="E27" s="9">
        <v>11</v>
      </c>
      <c r="F27" s="9">
        <v>12</v>
      </c>
      <c r="G27" s="9">
        <v>1</v>
      </c>
      <c r="H27" s="9">
        <f>INDEX(Econ2_B_Posterior,2,G27)</f>
        <v>0.03649635036496354</v>
      </c>
      <c r="I27" s="10" t="str">
        <f t="shared" si="0"/>
        <v>T Not Fav. New</v>
      </c>
      <c r="J27" s="10" t="str">
        <f t="shared" si="1"/>
        <v>Z1_90</v>
      </c>
      <c r="K27" s="11" t="str">
        <f t="shared" si="2"/>
        <v>Z1_90</v>
      </c>
      <c r="L27" s="12">
        <f t="shared" si="3"/>
        <v>0.03649635036496354</v>
      </c>
    </row>
    <row r="28" spans="4:12" ht="12.75">
      <c r="D28" s="8">
        <v>20</v>
      </c>
      <c r="E28" s="9">
        <v>11</v>
      </c>
      <c r="F28" s="9">
        <v>13</v>
      </c>
      <c r="G28" s="9">
        <v>2</v>
      </c>
      <c r="H28" s="9">
        <f>INDEX(Econ2_B_Posterior,2,G28)</f>
        <v>0.17518248175182485</v>
      </c>
      <c r="I28" s="10" t="str">
        <f t="shared" si="0"/>
        <v>T Not Fav. New</v>
      </c>
      <c r="J28" s="10" t="str">
        <f t="shared" si="1"/>
        <v>Z2_70</v>
      </c>
      <c r="K28" s="11" t="str">
        <f t="shared" si="2"/>
        <v>Z2_70</v>
      </c>
      <c r="L28" s="12">
        <f t="shared" si="3"/>
        <v>0.1360822165749904</v>
      </c>
    </row>
    <row r="29" spans="4:12" ht="12.75">
      <c r="D29" s="8">
        <v>21</v>
      </c>
      <c r="E29" s="9">
        <v>11</v>
      </c>
      <c r="F29" s="9">
        <v>14</v>
      </c>
      <c r="G29" s="9">
        <v>3</v>
      </c>
      <c r="H29" s="9">
        <f>INDEX(Econ2_B_Posterior,2,G29)</f>
        <v>0.5109489051094891</v>
      </c>
      <c r="I29" s="10" t="str">
        <f t="shared" si="0"/>
        <v>T Not Fav. New</v>
      </c>
      <c r="J29" s="10" t="str">
        <f t="shared" si="1"/>
        <v>Z3_50</v>
      </c>
      <c r="K29" s="11" t="str">
        <f t="shared" si="2"/>
        <v>Z3_50</v>
      </c>
      <c r="L29" s="12">
        <f t="shared" si="3"/>
        <v>0.24190767782487754</v>
      </c>
    </row>
    <row r="30" spans="4:12" ht="12.75">
      <c r="D30" s="8">
        <v>22</v>
      </c>
      <c r="E30" s="9">
        <v>11</v>
      </c>
      <c r="F30" s="9">
        <v>15</v>
      </c>
      <c r="G30" s="9">
        <v>4</v>
      </c>
      <c r="H30" s="9">
        <f>INDEX(Econ2_B_Posterior,2,G30)</f>
        <v>0.27737226277372257</v>
      </c>
      <c r="I30" s="10" t="str">
        <f t="shared" si="0"/>
        <v>T Not Fav. New</v>
      </c>
      <c r="J30" s="10" t="str">
        <f t="shared" si="1"/>
        <v>Z4_30</v>
      </c>
      <c r="K30" s="11" t="str">
        <f t="shared" si="2"/>
        <v>Z4_30</v>
      </c>
      <c r="L30" s="12">
        <f t="shared" si="3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6"/>
  <sheetViews>
    <sheetView showGridLines="0" workbookViewId="0" topLeftCell="A1">
      <selection activeCell="A1" sqref="A1"/>
    </sheetView>
  </sheetViews>
  <sheetFormatPr defaultColWidth="11.00390625" defaultRowHeight="12"/>
  <cols>
    <col min="1" max="3" width="8.875" style="0" customWidth="1"/>
    <col min="4" max="5" width="2.875" style="0" customWidth="1"/>
    <col min="6" max="6" width="14.125" style="0" bestFit="1" customWidth="1"/>
    <col min="7" max="8" width="6.875" style="0" customWidth="1"/>
    <col min="9" max="9" width="12.125" style="0" bestFit="1" customWidth="1"/>
    <col min="10" max="11" width="6.875" style="0" customWidth="1"/>
    <col min="12" max="12" width="13.50390625" style="0" bestFit="1" customWidth="1"/>
    <col min="13" max="14" width="6.875" style="0" customWidth="1"/>
    <col min="15" max="15" width="16.625" style="0" bestFit="1" customWidth="1"/>
    <col min="16" max="17" width="6.875" style="0" customWidth="1"/>
    <col min="18" max="18" width="12.125" style="0" bestFit="1" customWidth="1"/>
    <col min="19" max="16384" width="6.875" style="0" customWidth="1"/>
  </cols>
  <sheetData>
    <row r="1" ht="12.75">
      <c r="A1" s="7" t="s">
        <v>81</v>
      </c>
    </row>
    <row r="3" ht="12">
      <c r="B3" s="15" t="s">
        <v>160</v>
      </c>
    </row>
    <row r="6" spans="1:18" ht="12.75">
      <c r="A6" s="3" t="s">
        <v>150</v>
      </c>
      <c r="B6" s="3" t="s">
        <v>156</v>
      </c>
      <c r="C6" s="3" t="s">
        <v>155</v>
      </c>
      <c r="F6" s="41" t="s">
        <v>82</v>
      </c>
      <c r="H6" s="3"/>
      <c r="I6" s="44" t="s">
        <v>246</v>
      </c>
      <c r="K6" s="3"/>
      <c r="L6" s="41" t="s">
        <v>86</v>
      </c>
      <c r="N6" s="3"/>
      <c r="O6" s="46" t="s">
        <v>88</v>
      </c>
      <c r="Q6" s="3"/>
      <c r="R6" s="46" t="s">
        <v>98</v>
      </c>
    </row>
    <row r="7" spans="1:18" ht="12.75">
      <c r="A7" s="36" t="s">
        <v>203</v>
      </c>
      <c r="B7" s="36" t="s">
        <v>204</v>
      </c>
      <c r="C7" s="37">
        <v>0.726673766579043</v>
      </c>
      <c r="F7" s="42">
        <v>0.726673766579043</v>
      </c>
      <c r="H7" s="3"/>
      <c r="I7" s="45">
        <v>0.726673766579043</v>
      </c>
      <c r="K7" s="3">
        <v>0.6575</v>
      </c>
      <c r="L7" s="42">
        <v>0.8169148186819015</v>
      </c>
      <c r="N7" s="3"/>
      <c r="O7" s="47">
        <v>0.5534372942939937</v>
      </c>
      <c r="Q7" s="3" t="s">
        <v>102</v>
      </c>
      <c r="R7" s="47">
        <v>1</v>
      </c>
    </row>
    <row r="8" spans="1:17" ht="12.75">
      <c r="A8" s="36" t="s">
        <v>205</v>
      </c>
      <c r="B8" s="36" t="s">
        <v>207</v>
      </c>
      <c r="C8" s="37">
        <v>0.6790830321153051</v>
      </c>
      <c r="F8" s="43" t="s">
        <v>204</v>
      </c>
      <c r="K8" s="3"/>
      <c r="L8" s="43" t="s">
        <v>211</v>
      </c>
      <c r="Q8" s="3"/>
    </row>
    <row r="9" spans="1:3" ht="12.75">
      <c r="A9" s="36" t="s">
        <v>208</v>
      </c>
      <c r="B9" s="36" t="s">
        <v>211</v>
      </c>
      <c r="C9" s="37">
        <v>0.8169148186819015</v>
      </c>
    </row>
    <row r="10" spans="1:3" ht="12.75">
      <c r="A10" s="36" t="s">
        <v>209</v>
      </c>
      <c r="B10" s="36" t="s">
        <v>105</v>
      </c>
      <c r="C10" s="37">
        <v>0.5534372942939937</v>
      </c>
    </row>
    <row r="12" spans="8:18" ht="12.75">
      <c r="H12" s="3"/>
      <c r="I12" s="41" t="s">
        <v>83</v>
      </c>
      <c r="K12" s="3"/>
      <c r="L12" s="41" t="s">
        <v>87</v>
      </c>
      <c r="N12" s="3"/>
      <c r="O12" s="44" t="s">
        <v>95</v>
      </c>
      <c r="Q12" s="3"/>
      <c r="R12" s="46" t="s">
        <v>99</v>
      </c>
    </row>
    <row r="13" spans="8:18" ht="12.75">
      <c r="H13" s="3"/>
      <c r="I13" s="42">
        <v>0.6790830321153051</v>
      </c>
      <c r="K13" s="3">
        <v>0.3425</v>
      </c>
      <c r="L13" s="42">
        <v>0.5534372942939937</v>
      </c>
      <c r="N13" s="3"/>
      <c r="O13" s="45">
        <v>0.8169148186819015</v>
      </c>
      <c r="Q13" s="3" t="s">
        <v>102</v>
      </c>
      <c r="R13" s="47">
        <v>0.7768026529489034</v>
      </c>
    </row>
    <row r="14" spans="9:17" ht="12.75">
      <c r="I14" s="43" t="s">
        <v>207</v>
      </c>
      <c r="K14" s="3"/>
      <c r="L14" s="43" t="s">
        <v>105</v>
      </c>
      <c r="Q14" s="3"/>
    </row>
    <row r="18" spans="11:18" ht="12.75">
      <c r="K18" s="3"/>
      <c r="L18" s="46" t="s">
        <v>84</v>
      </c>
      <c r="N18" s="3"/>
      <c r="O18" s="46" t="s">
        <v>96</v>
      </c>
      <c r="Q18" s="3"/>
      <c r="R18" s="46" t="s">
        <v>100</v>
      </c>
    </row>
    <row r="19" spans="11:18" ht="12.75">
      <c r="K19" s="3"/>
      <c r="L19" s="47">
        <v>0.5534372942939937</v>
      </c>
      <c r="N19" s="3"/>
      <c r="O19" s="47">
        <v>0.5534372942939937</v>
      </c>
      <c r="Q19" s="3" t="s">
        <v>102</v>
      </c>
      <c r="R19" s="47">
        <v>0.4734478837429746</v>
      </c>
    </row>
    <row r="20" ht="12.75">
      <c r="Q20" s="3"/>
    </row>
    <row r="24" spans="11:18" ht="12.75">
      <c r="K24" s="3"/>
      <c r="L24" s="44" t="s">
        <v>85</v>
      </c>
      <c r="N24" s="3"/>
      <c r="O24" s="44" t="s">
        <v>97</v>
      </c>
      <c r="Q24" s="3"/>
      <c r="R24" s="46" t="s">
        <v>101</v>
      </c>
    </row>
    <row r="25" spans="11:18" ht="12.75">
      <c r="K25" s="3"/>
      <c r="L25" s="45">
        <v>0.6790830321153051</v>
      </c>
      <c r="N25" s="3"/>
      <c r="O25" s="45">
        <v>0.4144862447648315</v>
      </c>
      <c r="Q25" s="3" t="s">
        <v>102</v>
      </c>
      <c r="R25" s="47">
        <v>0</v>
      </c>
    </row>
    <row r="26" ht="12.75">
      <c r="Q26" s="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5"/>
  <sheetViews>
    <sheetView showGridLines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11.00390625" defaultRowHeight="12"/>
  <cols>
    <col min="1" max="7" width="6.875" style="0" customWidth="1"/>
    <col min="8" max="10" width="14.125" style="0" customWidth="1"/>
    <col min="11" max="13" width="6.875" style="0" customWidth="1"/>
    <col min="14" max="14" width="16.125" style="0" customWidth="1"/>
    <col min="15" max="18" width="6.875" style="0" customWidth="1"/>
    <col min="19" max="19" width="7.625" style="0" customWidth="1"/>
    <col min="20" max="20" width="6.875" style="0" customWidth="1"/>
    <col min="21" max="21" width="16.00390625" style="0" customWidth="1"/>
    <col min="22" max="16384" width="6.875" style="0" customWidth="1"/>
  </cols>
  <sheetData>
    <row r="1" spans="1:20" ht="15">
      <c r="A1" s="1" t="s">
        <v>111</v>
      </c>
      <c r="E1" s="2" t="s">
        <v>112</v>
      </c>
      <c r="F1" s="4" t="s">
        <v>242</v>
      </c>
      <c r="H1" s="2" t="s">
        <v>127</v>
      </c>
      <c r="I1" s="5" t="s">
        <v>130</v>
      </c>
      <c r="K1" s="2" t="s">
        <v>132</v>
      </c>
      <c r="L1" s="5" t="s">
        <v>130</v>
      </c>
      <c r="N1" s="2" t="s">
        <v>137</v>
      </c>
      <c r="O1" s="5" t="s">
        <v>192</v>
      </c>
      <c r="P1" s="18" t="s">
        <v>181</v>
      </c>
      <c r="Q1" s="3" t="s">
        <v>184</v>
      </c>
      <c r="R1" s="3" t="s">
        <v>185</v>
      </c>
      <c r="S1" s="3" t="s">
        <v>186</v>
      </c>
      <c r="T1" s="3" t="s">
        <v>187</v>
      </c>
    </row>
    <row r="2" spans="5:20" ht="12.75">
      <c r="E2" s="2" t="s">
        <v>114</v>
      </c>
      <c r="F2" s="5" t="s">
        <v>122</v>
      </c>
      <c r="H2" s="2" t="s">
        <v>129</v>
      </c>
      <c r="I2" s="5" t="s">
        <v>130</v>
      </c>
      <c r="K2" s="2" t="s">
        <v>133</v>
      </c>
      <c r="L2" s="5" t="s">
        <v>130</v>
      </c>
      <c r="N2" s="2" t="s">
        <v>139</v>
      </c>
      <c r="O2" s="5" t="s">
        <v>130</v>
      </c>
      <c r="P2" s="3"/>
      <c r="Q2" s="39">
        <v>0.5</v>
      </c>
      <c r="R2" s="40">
        <f>MIN(Cola_Node_Added)</f>
        <v>0</v>
      </c>
      <c r="S2" s="40">
        <f>MAX(Cola_Node_Added)</f>
        <v>450000</v>
      </c>
      <c r="T2" s="40">
        <f>IF(Cola_Util_Max&gt;0,(Cola_Util_Max-Cola_Util_Min)^Cola_Util_Param,1)</f>
        <v>670.820393249937</v>
      </c>
    </row>
    <row r="3" spans="2:19" ht="12.75">
      <c r="B3" s="67" t="s">
        <v>159</v>
      </c>
      <c r="E3" s="2" t="s">
        <v>123</v>
      </c>
      <c r="F3" s="5" t="s">
        <v>172</v>
      </c>
      <c r="H3" s="2" t="s">
        <v>131</v>
      </c>
      <c r="I3" s="5" t="s">
        <v>128</v>
      </c>
      <c r="K3" s="2" t="s">
        <v>134</v>
      </c>
      <c r="L3" s="5" t="s">
        <v>130</v>
      </c>
      <c r="P3" s="3"/>
      <c r="Q3" s="3" t="s">
        <v>155</v>
      </c>
      <c r="R3" s="3" t="s">
        <v>188</v>
      </c>
      <c r="S3" t="s">
        <v>189</v>
      </c>
    </row>
    <row r="4" spans="5:21" ht="12.75">
      <c r="E4" s="2" t="s">
        <v>125</v>
      </c>
      <c r="F4" s="5" t="s">
        <v>126</v>
      </c>
      <c r="K4" s="2" t="s">
        <v>135</v>
      </c>
      <c r="L4" s="5" t="s">
        <v>128</v>
      </c>
      <c r="P4" s="3"/>
      <c r="Q4" s="39">
        <v>10</v>
      </c>
      <c r="R4" s="40">
        <f>((Q4-Cola_Util_Min)^Cola_Util_Param)/Cola_Util_Norm</f>
        <v>0.004714045207910317</v>
      </c>
      <c r="S4" s="21">
        <f>Cola_Util_Min+(R4*Cola_Util_Norm)^(1/Cola_Util_Param)</f>
        <v>10.000000000000002</v>
      </c>
      <c r="U4" s="67" t="s">
        <v>190</v>
      </c>
    </row>
    <row r="5" spans="2:12" ht="12.75">
      <c r="B5" s="67" t="s">
        <v>160</v>
      </c>
      <c r="K5" s="2" t="s">
        <v>136</v>
      </c>
      <c r="L5" s="5" t="s">
        <v>128</v>
      </c>
    </row>
    <row r="6" spans="4:14" ht="12.75">
      <c r="D6" s="7" t="s">
        <v>140</v>
      </c>
      <c r="N6" s="7" t="s">
        <v>149</v>
      </c>
    </row>
    <row r="7" spans="2:23" ht="12.75">
      <c r="B7" s="67" t="s">
        <v>161</v>
      </c>
      <c r="C7" s="3"/>
      <c r="D7" s="3" t="s">
        <v>141</v>
      </c>
      <c r="E7" s="3" t="s">
        <v>143</v>
      </c>
      <c r="F7" s="3" t="s">
        <v>144</v>
      </c>
      <c r="G7" s="3" t="s">
        <v>141</v>
      </c>
      <c r="H7" s="3" t="s">
        <v>143</v>
      </c>
      <c r="I7" s="3" t="s">
        <v>144</v>
      </c>
      <c r="J7" s="3" t="s">
        <v>141</v>
      </c>
      <c r="K7" s="3" t="s">
        <v>141</v>
      </c>
      <c r="M7" s="3" t="s">
        <v>150</v>
      </c>
      <c r="N7" s="3" t="s">
        <v>150</v>
      </c>
      <c r="O7" s="3" t="s">
        <v>150</v>
      </c>
      <c r="P7" s="3" t="s">
        <v>150</v>
      </c>
      <c r="Q7" s="3" t="s">
        <v>150</v>
      </c>
      <c r="R7" s="3" t="s">
        <v>154</v>
      </c>
      <c r="S7" s="3" t="s">
        <v>182</v>
      </c>
      <c r="T7" s="3" t="s">
        <v>154</v>
      </c>
      <c r="U7" s="3" t="s">
        <v>154</v>
      </c>
      <c r="V7" s="3" t="s">
        <v>150</v>
      </c>
      <c r="W7" s="3" t="s">
        <v>150</v>
      </c>
    </row>
    <row r="8" spans="3:23" ht="12.75">
      <c r="C8" s="3"/>
      <c r="D8" s="3" t="s">
        <v>142</v>
      </c>
      <c r="E8" s="3" t="s">
        <v>142</v>
      </c>
      <c r="F8" s="3" t="s">
        <v>142</v>
      </c>
      <c r="G8" s="3" t="s">
        <v>146</v>
      </c>
      <c r="H8" s="3" t="s">
        <v>147</v>
      </c>
      <c r="I8" s="3" t="s">
        <v>147</v>
      </c>
      <c r="J8" s="3" t="s">
        <v>147</v>
      </c>
      <c r="K8" s="3" t="s">
        <v>181</v>
      </c>
      <c r="M8" s="3" t="s">
        <v>142</v>
      </c>
      <c r="N8" s="3" t="s">
        <v>147</v>
      </c>
      <c r="O8" s="3" t="s">
        <v>151</v>
      </c>
      <c r="P8" s="3" t="s">
        <v>155</v>
      </c>
      <c r="Q8" s="3" t="s">
        <v>181</v>
      </c>
      <c r="R8" s="3" t="s">
        <v>181</v>
      </c>
      <c r="S8" s="3" t="s">
        <v>183</v>
      </c>
      <c r="T8" s="3" t="s">
        <v>141</v>
      </c>
      <c r="U8" s="3" t="s">
        <v>156</v>
      </c>
      <c r="V8" s="3" t="s">
        <v>157</v>
      </c>
      <c r="W8" s="3" t="s">
        <v>158</v>
      </c>
    </row>
    <row r="9" spans="2:23" ht="12.75">
      <c r="B9" s="67" t="s">
        <v>162</v>
      </c>
      <c r="D9" s="8">
        <v>1</v>
      </c>
      <c r="E9" s="9">
        <v>1</v>
      </c>
      <c r="F9" s="9">
        <v>2</v>
      </c>
      <c r="G9" s="9">
        <v>1</v>
      </c>
      <c r="H9" s="10" t="str">
        <f aca="true" t="shared" si="0" ref="H9:H24">LOOKUP(Cola_From,Cola_Nodes,Cola_Node_Name)</f>
        <v>Decide Test</v>
      </c>
      <c r="I9" s="10" t="str">
        <f aca="true" t="shared" si="1" ref="I9:I24">LOOKUP(Cola_To,Cola_Nodes,Cola_Node_Name)</f>
        <v>Do Test</v>
      </c>
      <c r="J9" s="11" t="s">
        <v>204</v>
      </c>
      <c r="K9" s="12">
        <f aca="true" t="shared" si="2" ref="K9:K24">Cola_Prob*(LOOKUP(Cola_To,Cola_Nodes,Cola_Node_Value))</f>
        <v>0.7182396251135061</v>
      </c>
      <c r="M9" s="8">
        <v>1</v>
      </c>
      <c r="N9" s="8" t="s">
        <v>244</v>
      </c>
      <c r="O9" s="13" t="s">
        <v>153</v>
      </c>
      <c r="P9" s="9">
        <v>0</v>
      </c>
      <c r="Q9" s="38">
        <f aca="true" t="shared" si="3" ref="Q9:Q25">IF(Cola_Node_Type="T",((P9-Cola_Util_Min)^Cola_Util_Param)/Cola_Util_Norm,"")</f>
      </c>
      <c r="R9" s="12">
        <f aca="true" t="shared" si="4" ref="R9:R25">IF(Cola_Node_Type="T",Cola_Node_Utility,SUMIF(Cola_From,M9,Cola_Total))</f>
        <v>0.7182396251135061</v>
      </c>
      <c r="S9" s="38">
        <f aca="true" t="shared" si="5" ref="S9:S25">Cola_Util_Min+(R9*Cola_Util_Norm)^(1/Cola_Util_Param)</f>
        <v>232140.67158743544</v>
      </c>
      <c r="T9" s="14">
        <v>1</v>
      </c>
      <c r="U9" s="10" t="str">
        <f aca="true" t="shared" si="6" ref="U9:U25">IF(Cola_Node_Type="D",LOOKUP(T9,Cola_Arcs,Cola_Arc_Name),"")</f>
        <v>Do Test</v>
      </c>
      <c r="V9" s="14">
        <v>0</v>
      </c>
      <c r="W9" s="14">
        <v>0</v>
      </c>
    </row>
    <row r="10" spans="4:23" ht="12.75">
      <c r="D10" s="8">
        <v>2</v>
      </c>
      <c r="E10" s="9">
        <v>2</v>
      </c>
      <c r="F10" s="9">
        <v>4</v>
      </c>
      <c r="G10" s="9">
        <v>0.6000000238418579</v>
      </c>
      <c r="H10" s="10" t="str">
        <f t="shared" si="0"/>
        <v>Do Test</v>
      </c>
      <c r="I10" s="10" t="str">
        <f t="shared" si="1"/>
        <v>Market Decision</v>
      </c>
      <c r="J10" s="11" t="s">
        <v>252</v>
      </c>
      <c r="K10" s="12">
        <f t="shared" si="2"/>
        <v>0.5116805102378066</v>
      </c>
      <c r="M10" s="8">
        <v>2</v>
      </c>
      <c r="N10" s="8" t="s">
        <v>204</v>
      </c>
      <c r="O10" s="13" t="s">
        <v>166</v>
      </c>
      <c r="P10" s="9">
        <v>0</v>
      </c>
      <c r="Q10" s="38">
        <f t="shared" si="3"/>
      </c>
      <c r="R10" s="12">
        <f t="shared" si="4"/>
        <v>0.7182396251135061</v>
      </c>
      <c r="S10" s="38">
        <f t="shared" si="5"/>
        <v>232140.67158743544</v>
      </c>
      <c r="T10" s="14"/>
      <c r="U10" s="10">
        <f t="shared" si="6"/>
      </c>
      <c r="V10" s="14">
        <v>1</v>
      </c>
      <c r="W10" s="14">
        <v>0</v>
      </c>
    </row>
    <row r="11" spans="2:23" ht="12.75">
      <c r="B11" s="67" t="s">
        <v>163</v>
      </c>
      <c r="D11" s="8">
        <v>3</v>
      </c>
      <c r="E11" s="9">
        <v>2</v>
      </c>
      <c r="F11" s="9">
        <v>5</v>
      </c>
      <c r="G11" s="9">
        <v>0.4000000059604645</v>
      </c>
      <c r="H11" s="10" t="str">
        <f t="shared" si="0"/>
        <v>Do Test</v>
      </c>
      <c r="I11" s="10" t="str">
        <f t="shared" si="1"/>
        <v>Market Decision</v>
      </c>
      <c r="J11" s="11" t="s">
        <v>253</v>
      </c>
      <c r="K11" s="12">
        <f t="shared" si="2"/>
        <v>0.2065591148756995</v>
      </c>
      <c r="M11" s="8">
        <v>3</v>
      </c>
      <c r="N11" s="8" t="s">
        <v>247</v>
      </c>
      <c r="O11" s="13" t="s">
        <v>153</v>
      </c>
      <c r="P11" s="9">
        <v>0</v>
      </c>
      <c r="Q11" s="38">
        <f t="shared" si="3"/>
      </c>
      <c r="R11" s="12">
        <f t="shared" si="4"/>
        <v>0.7000000079472859</v>
      </c>
      <c r="S11" s="38">
        <f t="shared" si="5"/>
        <v>220500.0050067902</v>
      </c>
      <c r="T11" s="14">
        <v>13</v>
      </c>
      <c r="U11" s="10" t="str">
        <f t="shared" si="6"/>
        <v>Market Natioinally</v>
      </c>
      <c r="V11" s="14">
        <v>1</v>
      </c>
      <c r="W11" s="14">
        <v>1</v>
      </c>
    </row>
    <row r="12" spans="4:23" ht="12.75">
      <c r="D12" s="8">
        <v>4</v>
      </c>
      <c r="E12" s="9">
        <v>1</v>
      </c>
      <c r="F12" s="9">
        <v>3</v>
      </c>
      <c r="G12" s="9">
        <v>0</v>
      </c>
      <c r="H12" s="10" t="str">
        <f t="shared" si="0"/>
        <v>Decide Test</v>
      </c>
      <c r="I12" s="10" t="str">
        <f t="shared" si="1"/>
        <v>Don't Test</v>
      </c>
      <c r="J12" s="11" t="str">
        <f>I12</f>
        <v>Don't Test</v>
      </c>
      <c r="K12" s="12">
        <f t="shared" si="2"/>
        <v>0</v>
      </c>
      <c r="M12" s="8">
        <v>4</v>
      </c>
      <c r="N12" s="8" t="s">
        <v>249</v>
      </c>
      <c r="O12" s="13" t="s">
        <v>153</v>
      </c>
      <c r="P12" s="9">
        <v>0</v>
      </c>
      <c r="Q12" s="38">
        <f t="shared" si="3"/>
      </c>
      <c r="R12" s="12">
        <f t="shared" si="4"/>
        <v>0.8528008165090846</v>
      </c>
      <c r="S12" s="38">
        <f t="shared" si="5"/>
        <v>327271.1546873526</v>
      </c>
      <c r="T12" s="14">
        <v>6</v>
      </c>
      <c r="U12" s="10" t="str">
        <f t="shared" si="6"/>
        <v>Market Nationally</v>
      </c>
      <c r="V12" s="14">
        <v>2</v>
      </c>
      <c r="W12" s="14">
        <v>0</v>
      </c>
    </row>
    <row r="13" spans="4:23" ht="12.75">
      <c r="D13" s="8">
        <v>5</v>
      </c>
      <c r="E13" s="9">
        <v>4</v>
      </c>
      <c r="F13" s="9">
        <v>6</v>
      </c>
      <c r="G13" s="9">
        <v>0</v>
      </c>
      <c r="H13" s="10" t="str">
        <f t="shared" si="0"/>
        <v>Market Decision</v>
      </c>
      <c r="I13" s="10" t="str">
        <f t="shared" si="1"/>
        <v>Market Locally</v>
      </c>
      <c r="J13" s="11" t="s">
        <v>255</v>
      </c>
      <c r="K13" s="12">
        <f t="shared" si="2"/>
        <v>0</v>
      </c>
      <c r="M13" s="8">
        <v>5</v>
      </c>
      <c r="N13" s="8" t="s">
        <v>249</v>
      </c>
      <c r="O13" s="13" t="s">
        <v>153</v>
      </c>
      <c r="P13" s="9">
        <v>0</v>
      </c>
      <c r="Q13" s="38">
        <f t="shared" si="3"/>
      </c>
      <c r="R13" s="12">
        <f t="shared" si="4"/>
        <v>0.5163977794943222</v>
      </c>
      <c r="S13" s="38">
        <f t="shared" si="5"/>
        <v>120000</v>
      </c>
      <c r="T13" s="14">
        <v>9</v>
      </c>
      <c r="U13" s="10" t="str">
        <f t="shared" si="6"/>
        <v>Market Locally</v>
      </c>
      <c r="V13" s="14">
        <v>2</v>
      </c>
      <c r="W13" s="14">
        <v>1</v>
      </c>
    </row>
    <row r="14" spans="4:23" ht="12.75">
      <c r="D14" s="8">
        <v>6</v>
      </c>
      <c r="E14" s="9">
        <v>4</v>
      </c>
      <c r="F14" s="9">
        <v>7</v>
      </c>
      <c r="G14" s="9">
        <v>1</v>
      </c>
      <c r="H14" s="10" t="str">
        <f t="shared" si="0"/>
        <v>Market Decision</v>
      </c>
      <c r="I14" s="10" t="str">
        <f t="shared" si="1"/>
        <v>Market Nationally</v>
      </c>
      <c r="J14" s="11" t="s">
        <v>254</v>
      </c>
      <c r="K14" s="12">
        <f t="shared" si="2"/>
        <v>0.8528008165090846</v>
      </c>
      <c r="M14" s="8">
        <v>6</v>
      </c>
      <c r="N14" s="8" t="s">
        <v>255</v>
      </c>
      <c r="O14" s="13" t="s">
        <v>152</v>
      </c>
      <c r="P14" s="9">
        <v>120000</v>
      </c>
      <c r="Q14" s="38">
        <f t="shared" si="3"/>
        <v>0.5163977794943222</v>
      </c>
      <c r="R14" s="12">
        <f t="shared" si="4"/>
        <v>0.5163977794943222</v>
      </c>
      <c r="S14" s="38">
        <f t="shared" si="5"/>
        <v>120000</v>
      </c>
      <c r="T14" s="14"/>
      <c r="U14" s="10">
        <f t="shared" si="6"/>
      </c>
      <c r="V14" s="14">
        <v>3</v>
      </c>
      <c r="W14" s="14">
        <v>0</v>
      </c>
    </row>
    <row r="15" spans="4:23" ht="12.75">
      <c r="D15" s="8">
        <v>7</v>
      </c>
      <c r="E15" s="9">
        <v>7</v>
      </c>
      <c r="F15" s="9">
        <v>8</v>
      </c>
      <c r="G15" s="9">
        <v>0.8500000238418579</v>
      </c>
      <c r="H15" s="10" t="str">
        <f t="shared" si="0"/>
        <v>Market Nationally</v>
      </c>
      <c r="I15" s="10" t="str">
        <f t="shared" si="1"/>
        <v>National Success</v>
      </c>
      <c r="J15" s="11" t="s">
        <v>258</v>
      </c>
      <c r="K15" s="12">
        <f t="shared" si="2"/>
        <v>0.8211780386508245</v>
      </c>
      <c r="M15" s="8">
        <v>7</v>
      </c>
      <c r="N15" s="8" t="s">
        <v>254</v>
      </c>
      <c r="O15" s="13" t="s">
        <v>166</v>
      </c>
      <c r="P15" s="9">
        <v>0</v>
      </c>
      <c r="Q15" s="38">
        <f t="shared" si="3"/>
      </c>
      <c r="R15" s="12">
        <f t="shared" si="4"/>
        <v>0.8528008165090846</v>
      </c>
      <c r="S15" s="38">
        <f t="shared" si="5"/>
        <v>327271.1546873526</v>
      </c>
      <c r="T15" s="14"/>
      <c r="U15" s="10">
        <f t="shared" si="6"/>
      </c>
      <c r="V15" s="14">
        <v>3</v>
      </c>
      <c r="W15" s="14">
        <v>1</v>
      </c>
    </row>
    <row r="16" spans="4:23" ht="12.75">
      <c r="D16" s="8">
        <v>8</v>
      </c>
      <c r="E16" s="9">
        <v>7</v>
      </c>
      <c r="F16" s="9">
        <v>9</v>
      </c>
      <c r="G16" s="9">
        <v>0.15000000596046448</v>
      </c>
      <c r="H16" s="10" t="str">
        <f t="shared" si="0"/>
        <v>Market Nationally</v>
      </c>
      <c r="I16" s="10" t="str">
        <f t="shared" si="1"/>
        <v>National Failure</v>
      </c>
      <c r="J16" s="11" t="s">
        <v>259</v>
      </c>
      <c r="K16" s="12">
        <f t="shared" si="2"/>
        <v>0.03162277785826004</v>
      </c>
      <c r="M16" s="8">
        <v>8</v>
      </c>
      <c r="N16" s="8" t="s">
        <v>258</v>
      </c>
      <c r="O16" s="13" t="s">
        <v>152</v>
      </c>
      <c r="P16" s="9">
        <v>420000</v>
      </c>
      <c r="Q16" s="38">
        <f t="shared" si="3"/>
        <v>0.9660917830792959</v>
      </c>
      <c r="R16" s="12">
        <f t="shared" si="4"/>
        <v>0.9660917830792959</v>
      </c>
      <c r="S16" s="38">
        <f t="shared" si="5"/>
        <v>420000</v>
      </c>
      <c r="T16" s="14"/>
      <c r="U16" s="10">
        <f t="shared" si="6"/>
      </c>
      <c r="V16" s="14">
        <v>4</v>
      </c>
      <c r="W16" s="14">
        <v>0</v>
      </c>
    </row>
    <row r="17" spans="4:23" ht="12.75">
      <c r="D17" s="8">
        <v>9</v>
      </c>
      <c r="E17" s="9">
        <v>5</v>
      </c>
      <c r="F17" s="9">
        <v>10</v>
      </c>
      <c r="G17" s="9">
        <v>1</v>
      </c>
      <c r="H17" s="10" t="str">
        <f t="shared" si="0"/>
        <v>Market Decision</v>
      </c>
      <c r="I17" s="10" t="str">
        <f t="shared" si="1"/>
        <v>Market Locally</v>
      </c>
      <c r="J17" s="11" t="s">
        <v>255</v>
      </c>
      <c r="K17" s="12">
        <f t="shared" si="2"/>
        <v>0.5163977794943222</v>
      </c>
      <c r="M17" s="8">
        <v>9</v>
      </c>
      <c r="N17" s="8" t="s">
        <v>259</v>
      </c>
      <c r="O17" s="13" t="s">
        <v>152</v>
      </c>
      <c r="P17" s="9">
        <v>20000</v>
      </c>
      <c r="Q17" s="38">
        <f t="shared" si="3"/>
        <v>0.21081851067789195</v>
      </c>
      <c r="R17" s="12">
        <f t="shared" si="4"/>
        <v>0.21081851067789195</v>
      </c>
      <c r="S17" s="38">
        <f t="shared" si="5"/>
        <v>20000</v>
      </c>
      <c r="T17" s="14"/>
      <c r="U17" s="10">
        <f t="shared" si="6"/>
      </c>
      <c r="V17" s="14">
        <v>4</v>
      </c>
      <c r="W17" s="14">
        <v>1</v>
      </c>
    </row>
    <row r="18" spans="4:23" ht="12.75">
      <c r="D18" s="8">
        <v>10</v>
      </c>
      <c r="E18" s="9">
        <v>5</v>
      </c>
      <c r="F18" s="9">
        <v>11</v>
      </c>
      <c r="G18" s="9">
        <v>0</v>
      </c>
      <c r="H18" s="10" t="str">
        <f t="shared" si="0"/>
        <v>Market Decision</v>
      </c>
      <c r="I18" s="10" t="str">
        <f t="shared" si="1"/>
        <v>Market Nationally</v>
      </c>
      <c r="J18" s="11" t="s">
        <v>254</v>
      </c>
      <c r="K18" s="12">
        <f t="shared" si="2"/>
        <v>0</v>
      </c>
      <c r="M18" s="8">
        <v>10</v>
      </c>
      <c r="N18" s="8" t="s">
        <v>255</v>
      </c>
      <c r="O18" s="13" t="s">
        <v>152</v>
      </c>
      <c r="P18" s="9">
        <v>120000</v>
      </c>
      <c r="Q18" s="38">
        <f t="shared" si="3"/>
        <v>0.5163977794943222</v>
      </c>
      <c r="R18" s="12">
        <f t="shared" si="4"/>
        <v>0.5163977794943222</v>
      </c>
      <c r="S18" s="38">
        <f t="shared" si="5"/>
        <v>120000</v>
      </c>
      <c r="T18" s="14"/>
      <c r="U18" s="10">
        <f t="shared" si="6"/>
      </c>
      <c r="V18" s="14">
        <v>3</v>
      </c>
      <c r="W18" s="14">
        <v>2</v>
      </c>
    </row>
    <row r="19" spans="4:23" ht="12.75">
      <c r="D19" s="8">
        <v>11</v>
      </c>
      <c r="E19" s="9">
        <v>11</v>
      </c>
      <c r="F19" s="9">
        <v>12</v>
      </c>
      <c r="G19" s="9">
        <v>0.10000000149011612</v>
      </c>
      <c r="H19" s="10" t="str">
        <f t="shared" si="0"/>
        <v>Market Nationally</v>
      </c>
      <c r="I19" s="10" t="str">
        <f t="shared" si="1"/>
        <v>National Success</v>
      </c>
      <c r="J19" s="11" t="s">
        <v>258</v>
      </c>
      <c r="K19" s="12">
        <f t="shared" si="2"/>
        <v>0.09660917974751852</v>
      </c>
      <c r="M19" s="8">
        <v>11</v>
      </c>
      <c r="N19" s="8" t="s">
        <v>254</v>
      </c>
      <c r="O19" s="13" t="s">
        <v>166</v>
      </c>
      <c r="P19" s="9">
        <v>0</v>
      </c>
      <c r="Q19" s="38">
        <f t="shared" si="3"/>
      </c>
      <c r="R19" s="12">
        <f t="shared" si="4"/>
        <v>0.28634583433131633</v>
      </c>
      <c r="S19" s="38">
        <f t="shared" si="5"/>
        <v>36897.271577503954</v>
      </c>
      <c r="T19" s="14"/>
      <c r="U19" s="10">
        <f t="shared" si="6"/>
      </c>
      <c r="V19" s="14">
        <v>3</v>
      </c>
      <c r="W19" s="14">
        <v>3</v>
      </c>
    </row>
    <row r="20" spans="4:23" ht="12.75">
      <c r="D20" s="8">
        <v>12</v>
      </c>
      <c r="E20" s="9">
        <v>11</v>
      </c>
      <c r="F20" s="9">
        <v>13</v>
      </c>
      <c r="G20" s="9">
        <v>0.8999999761581421</v>
      </c>
      <c r="H20" s="10" t="str">
        <f t="shared" si="0"/>
        <v>Market Nationally</v>
      </c>
      <c r="I20" s="10" t="str">
        <f t="shared" si="1"/>
        <v>National Failure</v>
      </c>
      <c r="J20" s="11" t="s">
        <v>259</v>
      </c>
      <c r="K20" s="12">
        <f t="shared" si="2"/>
        <v>0.1897366545837978</v>
      </c>
      <c r="M20" s="8">
        <v>12</v>
      </c>
      <c r="N20" s="8" t="s">
        <v>258</v>
      </c>
      <c r="O20" s="13" t="s">
        <v>152</v>
      </c>
      <c r="P20" s="9">
        <v>420000</v>
      </c>
      <c r="Q20" s="38">
        <f t="shared" si="3"/>
        <v>0.9660917830792959</v>
      </c>
      <c r="R20" s="12">
        <f t="shared" si="4"/>
        <v>0.9660917830792959</v>
      </c>
      <c r="S20" s="38">
        <f t="shared" si="5"/>
        <v>420000</v>
      </c>
      <c r="T20" s="14"/>
      <c r="U20" s="10">
        <f t="shared" si="6"/>
      </c>
      <c r="V20" s="14">
        <v>4</v>
      </c>
      <c r="W20" s="14">
        <v>2</v>
      </c>
    </row>
    <row r="21" spans="4:23" ht="12.75">
      <c r="D21" s="8">
        <v>13</v>
      </c>
      <c r="E21" s="9">
        <v>3</v>
      </c>
      <c r="F21" s="9">
        <v>14</v>
      </c>
      <c r="G21" s="9">
        <v>1</v>
      </c>
      <c r="H21" s="10" t="str">
        <f t="shared" si="0"/>
        <v>Don't Test</v>
      </c>
      <c r="I21" s="10" t="str">
        <f t="shared" si="1"/>
        <v>Market Nationally</v>
      </c>
      <c r="J21" s="11" t="s">
        <v>76</v>
      </c>
      <c r="K21" s="12">
        <f t="shared" si="2"/>
        <v>0.7000000079472859</v>
      </c>
      <c r="M21" s="8">
        <v>13</v>
      </c>
      <c r="N21" s="8" t="s">
        <v>259</v>
      </c>
      <c r="O21" s="13" t="s">
        <v>152</v>
      </c>
      <c r="P21" s="9">
        <v>20000</v>
      </c>
      <c r="Q21" s="38">
        <f t="shared" si="3"/>
        <v>0.21081851067789195</v>
      </c>
      <c r="R21" s="12">
        <f t="shared" si="4"/>
        <v>0.21081851067789195</v>
      </c>
      <c r="S21" s="38">
        <f t="shared" si="5"/>
        <v>20000</v>
      </c>
      <c r="T21" s="14"/>
      <c r="U21" s="10">
        <f t="shared" si="6"/>
      </c>
      <c r="V21" s="14">
        <v>4</v>
      </c>
      <c r="W21" s="14">
        <v>3</v>
      </c>
    </row>
    <row r="22" spans="4:23" ht="12.75">
      <c r="D22" s="8">
        <v>14</v>
      </c>
      <c r="E22" s="9">
        <v>3</v>
      </c>
      <c r="F22" s="9">
        <v>15</v>
      </c>
      <c r="G22" s="9">
        <v>0</v>
      </c>
      <c r="H22" s="10" t="str">
        <f t="shared" si="0"/>
        <v>Don't Test</v>
      </c>
      <c r="I22" s="10" t="str">
        <f t="shared" si="1"/>
        <v>Market Locally</v>
      </c>
      <c r="J22" s="11" t="s">
        <v>255</v>
      </c>
      <c r="K22" s="12">
        <f t="shared" si="2"/>
        <v>0</v>
      </c>
      <c r="M22" s="8">
        <v>14</v>
      </c>
      <c r="N22" s="8" t="s">
        <v>254</v>
      </c>
      <c r="O22" s="13" t="s">
        <v>166</v>
      </c>
      <c r="P22" s="9">
        <v>0</v>
      </c>
      <c r="Q22" s="38">
        <f t="shared" si="3"/>
      </c>
      <c r="R22" s="12">
        <f t="shared" si="4"/>
        <v>0.7000000079472859</v>
      </c>
      <c r="S22" s="38">
        <f t="shared" si="5"/>
        <v>220500.0050067902</v>
      </c>
      <c r="T22" s="14"/>
      <c r="U22" s="10">
        <f t="shared" si="6"/>
      </c>
      <c r="V22" s="14">
        <v>2</v>
      </c>
      <c r="W22" s="14">
        <v>2</v>
      </c>
    </row>
    <row r="23" spans="4:23" ht="12.75">
      <c r="D23" s="8">
        <v>15</v>
      </c>
      <c r="E23" s="9">
        <v>14</v>
      </c>
      <c r="F23" s="9">
        <v>16</v>
      </c>
      <c r="G23" s="9">
        <v>0.550000011920929</v>
      </c>
      <c r="H23" s="10" t="str">
        <f t="shared" si="0"/>
        <v>Market Nationally</v>
      </c>
      <c r="I23" s="10" t="str">
        <f t="shared" si="1"/>
        <v>National Success</v>
      </c>
      <c r="J23" s="11" t="s">
        <v>258</v>
      </c>
      <c r="K23" s="12">
        <f t="shared" si="2"/>
        <v>0.550000011920929</v>
      </c>
      <c r="M23" s="8">
        <v>15</v>
      </c>
      <c r="N23" s="8" t="s">
        <v>255</v>
      </c>
      <c r="O23" s="13" t="s">
        <v>152</v>
      </c>
      <c r="P23" s="9">
        <v>150000</v>
      </c>
      <c r="Q23" s="38">
        <f t="shared" si="3"/>
        <v>0.5773502691896257</v>
      </c>
      <c r="R23" s="12">
        <f t="shared" si="4"/>
        <v>0.5773502691896257</v>
      </c>
      <c r="S23" s="38">
        <f t="shared" si="5"/>
        <v>150000</v>
      </c>
      <c r="T23" s="14"/>
      <c r="U23" s="10">
        <f t="shared" si="6"/>
      </c>
      <c r="V23" s="14">
        <v>2</v>
      </c>
      <c r="W23" s="14">
        <v>3</v>
      </c>
    </row>
    <row r="24" spans="4:23" ht="12.75">
      <c r="D24" s="8">
        <v>16</v>
      </c>
      <c r="E24" s="9">
        <v>14</v>
      </c>
      <c r="F24" s="9">
        <v>17</v>
      </c>
      <c r="G24" s="9">
        <v>0.44999998807907104</v>
      </c>
      <c r="H24" s="10" t="str">
        <f t="shared" si="0"/>
        <v>Market Nationally</v>
      </c>
      <c r="I24" s="10" t="str">
        <f t="shared" si="1"/>
        <v>National Failure</v>
      </c>
      <c r="J24" s="11" t="s">
        <v>259</v>
      </c>
      <c r="K24" s="12">
        <f t="shared" si="2"/>
        <v>0.149999996026357</v>
      </c>
      <c r="M24" s="8">
        <v>16</v>
      </c>
      <c r="N24" s="8" t="s">
        <v>258</v>
      </c>
      <c r="O24" s="13" t="s">
        <v>152</v>
      </c>
      <c r="P24" s="9">
        <v>450000</v>
      </c>
      <c r="Q24" s="38">
        <f t="shared" si="3"/>
        <v>1</v>
      </c>
      <c r="R24" s="12">
        <f t="shared" si="4"/>
        <v>1</v>
      </c>
      <c r="S24" s="38">
        <f t="shared" si="5"/>
        <v>450000.00000000006</v>
      </c>
      <c r="T24" s="14"/>
      <c r="U24" s="10">
        <f t="shared" si="6"/>
      </c>
      <c r="V24" s="14">
        <v>3</v>
      </c>
      <c r="W24" s="14">
        <v>4</v>
      </c>
    </row>
    <row r="25" spans="13:23" ht="12.75">
      <c r="M25" s="8">
        <v>17</v>
      </c>
      <c r="N25" s="8" t="s">
        <v>259</v>
      </c>
      <c r="O25" s="13" t="s">
        <v>152</v>
      </c>
      <c r="P25" s="9">
        <v>50000</v>
      </c>
      <c r="Q25" s="38">
        <f t="shared" si="3"/>
        <v>0.3333333333333333</v>
      </c>
      <c r="R25" s="12">
        <f t="shared" si="4"/>
        <v>0.3333333333333333</v>
      </c>
      <c r="S25" s="38">
        <f t="shared" si="5"/>
        <v>50000</v>
      </c>
      <c r="T25" s="14"/>
      <c r="U25" s="10">
        <f t="shared" si="6"/>
      </c>
      <c r="V25" s="14">
        <v>3</v>
      </c>
      <c r="W25" s="14">
        <v>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Jensen</dc:creator>
  <cp:keywords/>
  <dc:description/>
  <cp:lastModifiedBy>Paul Jensen</cp:lastModifiedBy>
  <dcterms:created xsi:type="dcterms:W3CDTF">2001-05-30T14:14:57Z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