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960" windowHeight="9860" activeTab="0"/>
  </bookViews>
  <sheets>
    <sheet name="Instructions" sheetId="1" r:id="rId1"/>
    <sheet name="FQ1Model" sheetId="2" r:id="rId2"/>
    <sheet name="FQ1Matrix" sheetId="3" r:id="rId3"/>
    <sheet name="FQ1Economics" sheetId="4" r:id="rId4"/>
    <sheet name="Sheet1" sheetId="5" r:id="rId5"/>
    <sheet name="Sheet2" sheetId="6" r:id="rId6"/>
    <sheet name="Sheet3" sheetId="7" r:id="rId7"/>
  </sheets>
  <externalReferences>
    <externalReference r:id="rId10"/>
    <externalReference r:id="rId11"/>
    <externalReference r:id="rId12"/>
    <externalReference r:id="rId13"/>
  </externalReferences>
  <definedNames>
    <definedName name="FQ1_Meas1">'FQ1Model'!$F$47:$F$53</definedName>
    <definedName name="FQ1_Meas2">'FQ1Model'!$G$47:$G$53</definedName>
    <definedName name="FQ1_Meas3">'FQ1Model'!$H$47:$H$53</definedName>
    <definedName name="FQ1_P">'FQ1Matrix'!$G$8:$M$14</definedName>
    <definedName name="FQ1Arrival">'FQ1Model'!$L$13</definedName>
    <definedName name="FQ1CB">'FQ1Model'!$X$24</definedName>
    <definedName name="FQ1CE">'FQ1Model'!$X$22</definedName>
    <definedName name="FQ1CL">'FQ1Model'!$X$23</definedName>
    <definedName name="FQ1Col_Indices">'FQ1Matrix'!$G$6:$M$6</definedName>
    <definedName name="FQ1Col_Names">'FQ1Matrix'!$G$7:$M$7</definedName>
    <definedName name="FQ1Col_Sums">'FQ1Matrix'!$G$15:$M$15</definedName>
    <definedName name="FQ1DeltaT">'FQ1Model'!$X$13</definedName>
    <definedName name="FQ1Dis">'FQ1Economics'!$D$4</definedName>
    <definedName name="FQ1EconMeas">'FQ1Economics'!$C$4</definedName>
    <definedName name="FQ1EconMeasure">'FQ1Model'!$X$11</definedName>
    <definedName name="FQ1Event">'FQ1Model'!$L$13:$N$13</definedName>
    <definedName name="FQ1EventFeas">'FQ1Model'!$P$14</definedName>
    <definedName name="FQ1EventInd">'FQ1Model'!$K$17</definedName>
    <definedName name="FQ1EventIndMax">'FQ1Model'!$K$18</definedName>
    <definedName name="FQ1EventLogic">'FQ1Model'!$L$14:$O$14</definedName>
    <definedName name="FQ1EventMax">'FQ1Model'!$L$16:$N$16</definedName>
    <definedName name="FQ1EventMin">'FQ1Model'!$L$15:$N$15</definedName>
    <definedName name="FQ1EventNames">'FQ1Model'!$P$17</definedName>
    <definedName name="FQ1EventStep">'FQ1Model'!$K$11</definedName>
    <definedName name="FQ1Exp_State_Cost">'FQ1Economics'!$F$5:$F$11</definedName>
    <definedName name="FQ1HC">'FQ1Model'!$X$21</definedName>
    <definedName name="FQ1Lambda">'FQ1Model'!$X$14</definedName>
    <definedName name="FQ1Max_System">'FQ1Model'!$X$9</definedName>
    <definedName name="FQ1maxstate">'FQ1Matrix'!$F$6</definedName>
    <definedName name="FQ1Model_Params">'FQ1Model'!$F$1:$F$4</definedName>
    <definedName name="FQ1Mu">'FQ1Model'!$X$17:$Y$17</definedName>
    <definedName name="FQ1Next1">'FQ1Model'!$A$33</definedName>
    <definedName name="FQ1Next2">'FQ1Model'!$A$43</definedName>
    <definedName name="FQ1Num_Servers">'FQ1Model'!$X$10</definedName>
    <definedName name="FQ1Num_Service">'FQ1Model'!$D$13:$E$13</definedName>
    <definedName name="FQ1Num_System">'FQ1Model'!$C$13</definedName>
    <definedName name="FQ1P_enter">'FQ1Model'!$X$15</definedName>
    <definedName name="FQ1P_leave">'FQ1Model'!$X$19:$Y$19</definedName>
    <definedName name="FQ1ParamStore">'FQ1Model'!$R$9</definedName>
    <definedName name="FQ1Row_Indices">'FQ1Matrix'!$D$8:$D$14</definedName>
    <definedName name="FQ1Row_Names">'FQ1Matrix'!$F$8:$F$14</definedName>
    <definedName name="FQ1Row_Sums">'FQ1Matrix'!$N$8:$N$14</definedName>
    <definedName name="FQ1Server_Arrive">'FQ1Model'!$G$13</definedName>
    <definedName name="FQ1Server_Depart">'FQ1Model'!$P$13</definedName>
    <definedName name="FQ1Services">'FQ1Model'!$M$13:$N$13</definedName>
    <definedName name="FQ1State">'FQ1Model'!$C$13:$E$13</definedName>
    <definedName name="FQ1State_Cost">'FQ1Economics'!$E$5:$E$11</definedName>
    <definedName name="FQ1State_Indices">'FQ1Matrix'!$D$8:$D$14</definedName>
    <definedName name="FQ1State_Names">'FQ1Matrix'!$E$8:$E$14</definedName>
    <definedName name="FQ1StateCost">'FQ1Model'!$G$20</definedName>
    <definedName name="FQ1StateFeas">'FQ1Model'!$G$14</definedName>
    <definedName name="FQ1StateInd">'FQ1Model'!$B$17</definedName>
    <definedName name="FQ1StateIndMax">'FQ1Model'!$B$18</definedName>
    <definedName name="FQ1StateList">'FQ1Model'!$A$46:$E$53</definedName>
    <definedName name="FQ1StateLogic">'FQ1Model'!$C$14:$F$14</definedName>
    <definedName name="FQ1StateMax">'FQ1Model'!$C$16:$E$16</definedName>
    <definedName name="FQ1StateMin">'FQ1Model'!$C$15:$E$15</definedName>
    <definedName name="FQ1StateNames">'FQ1Model'!$G$17</definedName>
    <definedName name="FQ1StateStep">'FQ1Model'!$B$11</definedName>
    <definedName name="FQ1Status">'FQ1Matrix'!$O$8:$O$14</definedName>
    <definedName name="FQ1TimeMeas">'FQ1Matrix'!$E$4</definedName>
    <definedName name="FQ1TimeMeasure">'FQ1Model'!$X$12</definedName>
    <definedName name="FQ1Trans_Cost">'FQ1Economics'!$G$5:$M$11</definedName>
    <definedName name="FQ1TransCost1">'FQ1Model'!$K$33</definedName>
    <definedName name="FQ1TransCost2">'FQ1Model'!$K$43</definedName>
    <definedName name="FQ1TransEvent1">'FQ1Model'!$L$28</definedName>
    <definedName name="FQ1TransEvent2">'FQ1Model'!$L$38</definedName>
    <definedName name="FQ1TransEventLogic1">'FQ1Model'!$P$31</definedName>
    <definedName name="FQ1TransEventLogic2">'FQ1Model'!$P$41</definedName>
    <definedName name="FQ1TransInd1">'FQ1Model'!$F$33</definedName>
    <definedName name="FQ1TransInd2">'FQ1Model'!$F$43</definedName>
    <definedName name="FQ1TransLogic1">'FQ1Model'!$B$33</definedName>
    <definedName name="FQ1TransLogic2">'FQ1Model'!$B$43</definedName>
    <definedName name="FQ1TransName1">'FQ1Model'!$G$33</definedName>
    <definedName name="FQ1TransName2">'FQ1Model'!$G$43</definedName>
    <definedName name="FQ1TransNextState1">'FQ1Model'!$C$33:$E$33</definedName>
    <definedName name="FQ1TransNextState2">'FQ1Model'!$C$43:$E$43</definedName>
    <definedName name="FQ1TransProb1">'FQ1Model'!$I$33</definedName>
    <definedName name="FQ1TransProb2">'FQ1Model'!$I$43</definedName>
    <definedName name="FQ1TransState1">'FQ1Model'!$C$28</definedName>
    <definedName name="FQ1TransState2">'FQ1Model'!$C$38</definedName>
    <definedName name="FQ1TransStateLogic1">'FQ1Model'!$G$31</definedName>
    <definedName name="FQ1TransStateLogic2">'FQ1Model'!$G$41</definedName>
  </definedNames>
  <calcPr fullCalcOnLoad="1"/>
</workbook>
</file>

<file path=xl/sharedStrings.xml><?xml version="1.0" encoding="utf-8"?>
<sst xmlns="http://schemas.openxmlformats.org/spreadsheetml/2006/main" count="199" uniqueCount="125">
  <si>
    <t>When opening a file with links, a dialog may appear asking whether links are to be re-established. Always answer no to this question.</t>
  </si>
  <si>
    <t>When opening a file that has been created on a different computer, always have the appropriate Add-in installed using the Add-in Command under the Tools menu or the OR_MM Control dialog.</t>
  </si>
  <si>
    <t>When an add-in is installed, the OR_MM menu item is placed on the Standard toolbar and the commands unique to the add-in are placed on the OR_MM menu. Select items from this menu to initiate the add-in procedures.</t>
  </si>
  <si>
    <t>For worksheets with buttons, we have included a Relink Buttons command. This command creates new buttons linked to the resident Add-in. If buttons don't work correctly, choose the Relink Buttons command.</t>
  </si>
  <si>
    <t>For worksheets with user defined functions, functions already on the worksheet must be linked to the Add-in for the new computer. Be sure the add-in that provides these functions is installed.</t>
  </si>
  <si>
    <t>If user defined functions are not working, select the Links command on the Edit menu. Select the Update Source command. Browse to find the Add-in to which the functions are to be linked. Pressing the Change button causes the function commands to be update</t>
  </si>
  <si>
    <t>Description</t>
  </si>
  <si>
    <t>Add-ins Used</t>
  </si>
  <si>
    <t>Stochastic Models Add-in</t>
  </si>
  <si>
    <t>Stochastic Models</t>
  </si>
  <si>
    <t>FQ1Model</t>
  </si>
  <si>
    <t>FQ1Matrix</t>
  </si>
  <si>
    <t>FQ1Economics</t>
  </si>
  <si>
    <t>Markov Matrix created by the Finite Queue model</t>
  </si>
  <si>
    <t>Economics Matrix created by the Finite Queue model</t>
  </si>
  <si>
    <t>Combined</t>
  </si>
  <si>
    <t>0.01 Minute</t>
  </si>
  <si>
    <t>Class-1</t>
  </si>
  <si>
    <t>Matrix Analyzed.</t>
  </si>
  <si>
    <t>7 Recurrent States</t>
  </si>
  <si>
    <t>1 Recurrent State Class</t>
  </si>
  <si>
    <t>0 Transient States</t>
  </si>
  <si>
    <t>Markov Chain Model</t>
  </si>
  <si>
    <t>Fill Matrix</t>
  </si>
  <si>
    <t>Add Transitions</t>
  </si>
  <si>
    <t>Name:</t>
  </si>
  <si>
    <t>FQ1</t>
  </si>
  <si>
    <t>Type:</t>
  </si>
  <si>
    <t>Finite Queue</t>
  </si>
  <si>
    <t>State Var.:</t>
  </si>
  <si>
    <t>Event Var.:</t>
  </si>
  <si>
    <t xml:space="preserve">Economic Measure = </t>
  </si>
  <si>
    <t>Cost</t>
  </si>
  <si>
    <t>Define States</t>
  </si>
  <si>
    <t>DTMC</t>
  </si>
  <si>
    <t>State Vector</t>
  </si>
  <si>
    <t>Define the state vector and logical conditions for feasible states.</t>
  </si>
  <si>
    <t>Step</t>
  </si>
  <si>
    <t>Feas.</t>
  </si>
  <si>
    <t>Min</t>
  </si>
  <si>
    <t>Max</t>
  </si>
  <si>
    <t>State</t>
  </si>
  <si>
    <t>Definitions</t>
  </si>
  <si>
    <t>s1:</t>
  </si>
  <si>
    <t>s2:</t>
  </si>
  <si>
    <t>s3:</t>
  </si>
  <si>
    <t>Formula for state names</t>
  </si>
  <si>
    <t>Formula for state Cost</t>
  </si>
  <si>
    <t>Event Vector</t>
  </si>
  <si>
    <t>Define the event vector and logical conditions for feasible events.</t>
  </si>
  <si>
    <t>Event</t>
  </si>
  <si>
    <t xml:space="preserve">e1: </t>
  </si>
  <si>
    <t xml:space="preserve">e2: </t>
  </si>
  <si>
    <t xml:space="preserve">e3: </t>
  </si>
  <si>
    <t>Formula for event names</t>
  </si>
  <si>
    <t>State-Event Transition Equations, Probabilities and Costs</t>
  </si>
  <si>
    <t>Next</t>
  </si>
  <si>
    <t>Logic</t>
  </si>
  <si>
    <t>s1</t>
  </si>
  <si>
    <t>s2</t>
  </si>
  <si>
    <t>s3</t>
  </si>
  <si>
    <t>Index</t>
  </si>
  <si>
    <t>Name</t>
  </si>
  <si>
    <t>Trans. Prob.</t>
  </si>
  <si>
    <t>Trans.  Cost</t>
  </si>
  <si>
    <t>S_0_0_0</t>
  </si>
  <si>
    <t>Build Matrix Model</t>
  </si>
  <si>
    <t>Finite Queue Model</t>
  </si>
  <si>
    <t xml:space="preserve">Maximum number in system = </t>
  </si>
  <si>
    <t xml:space="preserve">Number of servers = </t>
  </si>
  <si>
    <t xml:space="preserve">Time Measure = </t>
  </si>
  <si>
    <t>Minute</t>
  </si>
  <si>
    <t xml:space="preserve">Time Interval = </t>
  </si>
  <si>
    <t xml:space="preserve">Arrival Rate = </t>
  </si>
  <si>
    <t xml:space="preserve">Arrival Probability = </t>
  </si>
  <si>
    <t>Service Rate</t>
  </si>
  <si>
    <t>Service Probability</t>
  </si>
  <si>
    <t xml:space="preserve">Cost Rate for Items in the System = </t>
  </si>
  <si>
    <t xml:space="preserve">Cost per period for Items in the System = </t>
  </si>
  <si>
    <t xml:space="preserve">Cost per Item Entering = </t>
  </si>
  <si>
    <t xml:space="preserve">Cost per Item Leaving = </t>
  </si>
  <si>
    <t xml:space="preserve">Cost per Item Balking = </t>
  </si>
  <si>
    <t>Number in System</t>
  </si>
  <si>
    <t>Number with server 1</t>
  </si>
  <si>
    <t>Number with server 2</t>
  </si>
  <si>
    <t>Min.</t>
  </si>
  <si>
    <t>Server</t>
  </si>
  <si>
    <t>Arrival</t>
  </si>
  <si>
    <t>Departure from server 1</t>
  </si>
  <si>
    <t>Departure from server 2</t>
  </si>
  <si>
    <t>Only one event is allowed.</t>
  </si>
  <si>
    <t>Transitions caused by arrivals.</t>
  </si>
  <si>
    <t>Transitions caused by departures.</t>
  </si>
  <si>
    <t>Number in Queue</t>
  </si>
  <si>
    <t>Balking States</t>
  </si>
  <si>
    <t>S_1_0_1</t>
  </si>
  <si>
    <t>S_1_1_0</t>
  </si>
  <si>
    <t>S_2_1_1</t>
  </si>
  <si>
    <t>S_3_1_1</t>
  </si>
  <si>
    <t>S_4_1_1</t>
  </si>
  <si>
    <t>S_5_1_1</t>
  </si>
  <si>
    <t>Markov Chain Transition Matrix</t>
  </si>
  <si>
    <t>Title:</t>
  </si>
  <si>
    <t>Measure</t>
  </si>
  <si>
    <t>Names</t>
  </si>
  <si>
    <t>Change</t>
  </si>
  <si>
    <t>Calculate</t>
  </si>
  <si>
    <t>Analyze</t>
  </si>
  <si>
    <t>Economics</t>
  </si>
  <si>
    <t>Transient</t>
  </si>
  <si>
    <t>Steady State</t>
  </si>
  <si>
    <t>n-step Probabilities</t>
  </si>
  <si>
    <t>First Pass</t>
  </si>
  <si>
    <t>Simulate</t>
  </si>
  <si>
    <t>Absorbing States</t>
  </si>
  <si>
    <t>Sum</t>
  </si>
  <si>
    <t>Status</t>
  </si>
  <si>
    <t>Economic Data</t>
  </si>
  <si>
    <t>Economic</t>
  </si>
  <si>
    <t>Discount</t>
  </si>
  <si>
    <t>Rate per</t>
  </si>
  <si>
    <t>Matrix</t>
  </si>
  <si>
    <t>Instructions for Demos and Files Created on Another Computer</t>
  </si>
  <si>
    <t>•</t>
  </si>
  <si>
    <t>Buttons and User Defined functions are linked to the Add-in with which they are created. This causes problems when opening a file created in one computer in a second computer.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</si>
</sst>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####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1"/>
      <name val="Geneva"/>
      <family val="0"/>
    </font>
    <font>
      <b/>
      <sz val="9"/>
      <color indexed="10"/>
      <name val="Geneva"/>
      <family val="0"/>
    </font>
    <font>
      <sz val="9"/>
      <color indexed="18"/>
      <name val="Geneva"/>
      <family val="0"/>
    </font>
    <font>
      <b/>
      <sz val="9"/>
      <color indexed="1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sz val="8"/>
      <name val="Geneva"/>
      <family val="0"/>
    </font>
    <font>
      <b/>
      <sz val="12"/>
      <color indexed="18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0" fillId="2" borderId="0" applyNumberFormat="0" applyFont="0" applyBorder="0" applyAlignment="0" applyProtection="0"/>
    <xf numFmtId="0" fontId="10" fillId="2" borderId="0">
      <alignment/>
      <protection/>
    </xf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NumberFormat="1" applyBorder="1" applyAlignment="1">
      <alignment/>
    </xf>
    <xf numFmtId="0" fontId="0" fillId="5" borderId="1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6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5" borderId="0" xfId="0" applyFill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3" borderId="0" xfId="0" applyFill="1" applyAlignment="1">
      <alignment/>
    </xf>
    <xf numFmtId="0" fontId="0" fillId="3" borderId="1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Border="1" applyAlignment="1">
      <alignment/>
    </xf>
    <xf numFmtId="0" fontId="6" fillId="3" borderId="0" xfId="0" applyFont="1" applyFill="1" applyAlignment="1">
      <alignment horizontal="center"/>
    </xf>
    <xf numFmtId="0" fontId="0" fillId="3" borderId="16" xfId="0" applyFill="1" applyBorder="1" applyAlignment="1">
      <alignment/>
    </xf>
    <xf numFmtId="0" fontId="10" fillId="0" borderId="0" xfId="22">
      <alignment/>
      <protection/>
    </xf>
    <xf numFmtId="0" fontId="10" fillId="0" borderId="0" xfId="22" applyAlignment="1">
      <alignment horizontal="center" vertical="center"/>
      <protection/>
    </xf>
    <xf numFmtId="0" fontId="11" fillId="0" borderId="0" xfId="0" applyFont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2" fillId="0" borderId="0" xfId="22" applyFont="1" applyAlignment="1">
      <alignment horizontal="center" vertical="center"/>
      <protection/>
    </xf>
    <xf numFmtId="0" fontId="12" fillId="0" borderId="0" xfId="22" applyFont="1" applyAlignment="1">
      <alignment wrapText="1"/>
      <protection/>
    </xf>
    <xf numFmtId="0" fontId="10" fillId="0" borderId="0" xfId="21" applyFont="1">
      <alignment/>
      <protection/>
    </xf>
    <xf numFmtId="0" fontId="12" fillId="0" borderId="0" xfId="21" applyFont="1" applyAlignment="1">
      <alignment horizontal="center" vertical="center"/>
      <protection/>
    </xf>
    <xf numFmtId="0" fontId="11" fillId="0" borderId="0" xfId="21" applyFont="1" applyAlignment="1">
      <alignment wrapText="1"/>
      <protection/>
    </xf>
    <xf numFmtId="0" fontId="10" fillId="0" borderId="0" xfId="21">
      <alignment/>
      <protection/>
    </xf>
    <xf numFmtId="0" fontId="10" fillId="0" borderId="0" xfId="21" applyFont="1" applyAlignment="1">
      <alignment horizontal="center" vertical="center"/>
      <protection/>
    </xf>
    <xf numFmtId="0" fontId="13" fillId="0" borderId="0" xfId="21" applyFont="1" applyAlignment="1">
      <alignment wrapText="1"/>
      <protection/>
    </xf>
    <xf numFmtId="0" fontId="14" fillId="0" borderId="0" xfId="21" applyFont="1">
      <alignment/>
      <protection/>
    </xf>
    <xf numFmtId="0" fontId="8" fillId="0" borderId="4" xfId="20" applyBorder="1" applyAlignment="1">
      <alignment horizontal="center"/>
    </xf>
    <xf numFmtId="0" fontId="10" fillId="0" borderId="0" xfId="21" applyFont="1" applyAlignment="1">
      <alignment wrapText="1"/>
      <protection/>
    </xf>
    <xf numFmtId="0" fontId="10" fillId="0" borderId="0" xfId="22" applyAlignment="1">
      <alignment wrapText="1"/>
      <protection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pdem.xls" xfId="21"/>
    <cellStyle name="Normal_quedem.xls" xfId="22"/>
    <cellStyle name="Percent" xfId="23"/>
    <cellStyle name="PJStyle" xfId="24"/>
    <cellStyle name="PJStyle_Instruction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</xdr:col>
      <xdr:colOff>0</xdr:colOff>
      <xdr:row>3</xdr:row>
      <xdr:rowOff>85725</xdr:rowOff>
    </xdr:to>
    <xdr:sp macro="[4]!SPMakeNames">
      <xdr:nvSpPr>
        <xdr:cNvPr id="1" name="Oval 9"/>
        <xdr:cNvSpPr>
          <a:spLocks/>
        </xdr:cNvSpPr>
      </xdr:nvSpPr>
      <xdr:spPr>
        <a:xfrm>
          <a:off x="266700" y="3524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0</xdr:colOff>
      <xdr:row>5</xdr:row>
      <xdr:rowOff>85725</xdr:rowOff>
    </xdr:to>
    <xdr:sp macro="[4]!SPMakeMatrix">
      <xdr:nvSpPr>
        <xdr:cNvPr id="2" name="Oval 10"/>
        <xdr:cNvSpPr>
          <a:spLocks/>
        </xdr:cNvSpPr>
      </xdr:nvSpPr>
      <xdr:spPr>
        <a:xfrm>
          <a:off x="266700" y="6762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266700</xdr:colOff>
      <xdr:row>3</xdr:row>
      <xdr:rowOff>0</xdr:rowOff>
    </xdr:from>
    <xdr:to>
      <xdr:col>23</xdr:col>
      <xdr:colOff>0</xdr:colOff>
      <xdr:row>4</xdr:row>
      <xdr:rowOff>85725</xdr:rowOff>
    </xdr:to>
    <xdr:sp macro="[4]!SPMakeModel">
      <xdr:nvSpPr>
        <xdr:cNvPr id="3" name="Oval 11"/>
        <xdr:cNvSpPr>
          <a:spLocks/>
        </xdr:cNvSpPr>
      </xdr:nvSpPr>
      <xdr:spPr>
        <a:xfrm>
          <a:off x="12401550" y="514350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6</xdr:row>
      <xdr:rowOff>0</xdr:rowOff>
    </xdr:from>
    <xdr:to>
      <xdr:col>1</xdr:col>
      <xdr:colOff>0</xdr:colOff>
      <xdr:row>7</xdr:row>
      <xdr:rowOff>85725</xdr:rowOff>
    </xdr:to>
    <xdr:sp macro="[4]!SPChangeTrans">
      <xdr:nvSpPr>
        <xdr:cNvPr id="4" name="Oval 12"/>
        <xdr:cNvSpPr>
          <a:spLocks/>
        </xdr:cNvSpPr>
      </xdr:nvSpPr>
      <xdr:spPr>
        <a:xfrm>
          <a:off x="266700" y="990600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12</xdr:row>
      <xdr:rowOff>0</xdr:rowOff>
    </xdr:from>
    <xdr:to>
      <xdr:col>1</xdr:col>
      <xdr:colOff>0</xdr:colOff>
      <xdr:row>13</xdr:row>
      <xdr:rowOff>76200</xdr:rowOff>
    </xdr:to>
    <xdr:sp macro="[4]!Inc_State">
      <xdr:nvSpPr>
        <xdr:cNvPr id="5" name="Oval 13"/>
        <xdr:cNvSpPr>
          <a:spLocks/>
        </xdr:cNvSpPr>
      </xdr:nvSpPr>
      <xdr:spPr>
        <a:xfrm>
          <a:off x="266700" y="2028825"/>
          <a:ext cx="257175" cy="247650"/>
        </a:xfrm>
        <a:prstGeom prst="ellipse">
          <a:avLst/>
        </a:prstGeom>
        <a:solidFill>
          <a:srgbClr val="99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+</a:t>
          </a:r>
        </a:p>
      </xdr:txBody>
    </xdr:sp>
    <xdr:clientData/>
  </xdr:twoCellAnchor>
  <xdr:twoCellAnchor>
    <xdr:from>
      <xdr:col>0</xdr:col>
      <xdr:colOff>266700</xdr:colOff>
      <xdr:row>14</xdr:row>
      <xdr:rowOff>0</xdr:rowOff>
    </xdr:from>
    <xdr:to>
      <xdr:col>1</xdr:col>
      <xdr:colOff>0</xdr:colOff>
      <xdr:row>15</xdr:row>
      <xdr:rowOff>76200</xdr:rowOff>
    </xdr:to>
    <xdr:sp macro="[4]!Dec_State">
      <xdr:nvSpPr>
        <xdr:cNvPr id="6" name="Oval 14"/>
        <xdr:cNvSpPr>
          <a:spLocks/>
        </xdr:cNvSpPr>
      </xdr:nvSpPr>
      <xdr:spPr>
        <a:xfrm>
          <a:off x="266700" y="2390775"/>
          <a:ext cx="257175" cy="247650"/>
        </a:xfrm>
        <a:prstGeom prst="ellipse">
          <a:avLst/>
        </a:prstGeom>
        <a:solidFill>
          <a:srgbClr val="99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-</a:t>
          </a:r>
        </a:p>
      </xdr:txBody>
    </xdr:sp>
    <xdr:clientData/>
  </xdr:twoCellAnchor>
  <xdr:twoCellAnchor>
    <xdr:from>
      <xdr:col>9</xdr:col>
      <xdr:colOff>266700</xdr:colOff>
      <xdr:row>12</xdr:row>
      <xdr:rowOff>0</xdr:rowOff>
    </xdr:from>
    <xdr:to>
      <xdr:col>10</xdr:col>
      <xdr:colOff>0</xdr:colOff>
      <xdr:row>13</xdr:row>
      <xdr:rowOff>76200</xdr:rowOff>
    </xdr:to>
    <xdr:sp macro="[4]!Inc_Event">
      <xdr:nvSpPr>
        <xdr:cNvPr id="7" name="Oval 15"/>
        <xdr:cNvSpPr>
          <a:spLocks/>
        </xdr:cNvSpPr>
      </xdr:nvSpPr>
      <xdr:spPr>
        <a:xfrm>
          <a:off x="5591175" y="2028825"/>
          <a:ext cx="257175" cy="247650"/>
        </a:xfrm>
        <a:prstGeom prst="ellipse">
          <a:avLst/>
        </a:prstGeom>
        <a:solidFill>
          <a:srgbClr val="99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+</a:t>
          </a:r>
        </a:p>
      </xdr:txBody>
    </xdr:sp>
    <xdr:clientData/>
  </xdr:twoCellAnchor>
  <xdr:twoCellAnchor>
    <xdr:from>
      <xdr:col>9</xdr:col>
      <xdr:colOff>266700</xdr:colOff>
      <xdr:row>14</xdr:row>
      <xdr:rowOff>0</xdr:rowOff>
    </xdr:from>
    <xdr:to>
      <xdr:col>10</xdr:col>
      <xdr:colOff>0</xdr:colOff>
      <xdr:row>15</xdr:row>
      <xdr:rowOff>76200</xdr:rowOff>
    </xdr:to>
    <xdr:sp macro="[4]!Dec_Event">
      <xdr:nvSpPr>
        <xdr:cNvPr id="8" name="Oval 16"/>
        <xdr:cNvSpPr>
          <a:spLocks/>
        </xdr:cNvSpPr>
      </xdr:nvSpPr>
      <xdr:spPr>
        <a:xfrm>
          <a:off x="5591175" y="2390775"/>
          <a:ext cx="257175" cy="247650"/>
        </a:xfrm>
        <a:prstGeom prst="ellipse">
          <a:avLst/>
        </a:prstGeom>
        <a:solidFill>
          <a:srgbClr val="99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0</xdr:rowOff>
    </xdr:from>
    <xdr:to>
      <xdr:col>2</xdr:col>
      <xdr:colOff>0</xdr:colOff>
      <xdr:row>4</xdr:row>
      <xdr:rowOff>85725</xdr:rowOff>
    </xdr:to>
    <xdr:sp macro="[3]!MPgetNumber">
      <xdr:nvSpPr>
        <xdr:cNvPr id="1" name="Oval 1"/>
        <xdr:cNvSpPr>
          <a:spLocks/>
        </xdr:cNvSpPr>
      </xdr:nvSpPr>
      <xdr:spPr>
        <a:xfrm>
          <a:off x="1095375" y="5238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0</xdr:colOff>
      <xdr:row>3</xdr:row>
      <xdr:rowOff>85725</xdr:rowOff>
    </xdr:to>
    <xdr:sp macro="[3]!MPCallChkSum">
      <xdr:nvSpPr>
        <xdr:cNvPr id="2" name="Oval 2"/>
        <xdr:cNvSpPr>
          <a:spLocks/>
        </xdr:cNvSpPr>
      </xdr:nvSpPr>
      <xdr:spPr>
        <a:xfrm>
          <a:off x="1771650" y="361950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419100</xdr:colOff>
      <xdr:row>4</xdr:row>
      <xdr:rowOff>0</xdr:rowOff>
    </xdr:from>
    <xdr:to>
      <xdr:col>3</xdr:col>
      <xdr:colOff>0</xdr:colOff>
      <xdr:row>5</xdr:row>
      <xdr:rowOff>85725</xdr:rowOff>
    </xdr:to>
    <xdr:sp macro="[3]!MPAnalStates">
      <xdr:nvSpPr>
        <xdr:cNvPr id="3" name="Oval 3"/>
        <xdr:cNvSpPr>
          <a:spLocks/>
        </xdr:cNvSpPr>
      </xdr:nvSpPr>
      <xdr:spPr>
        <a:xfrm>
          <a:off x="1771650" y="685800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0</xdr:rowOff>
    </xdr:from>
    <xdr:to>
      <xdr:col>1</xdr:col>
      <xdr:colOff>0</xdr:colOff>
      <xdr:row>8</xdr:row>
      <xdr:rowOff>85725</xdr:rowOff>
    </xdr:to>
    <xdr:sp macro="[3]!MPAddEcon">
      <xdr:nvSpPr>
        <xdr:cNvPr id="4" name="Oval 4"/>
        <xdr:cNvSpPr>
          <a:spLocks/>
        </xdr:cNvSpPr>
      </xdr:nvSpPr>
      <xdr:spPr>
        <a:xfrm>
          <a:off x="419100" y="11715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419100</xdr:colOff>
      <xdr:row>9</xdr:row>
      <xdr:rowOff>0</xdr:rowOff>
    </xdr:from>
    <xdr:to>
      <xdr:col>1</xdr:col>
      <xdr:colOff>0</xdr:colOff>
      <xdr:row>10</xdr:row>
      <xdr:rowOff>85725</xdr:rowOff>
    </xdr:to>
    <xdr:sp macro="[3]!MPAddTrans">
      <xdr:nvSpPr>
        <xdr:cNvPr id="5" name="Oval 5"/>
        <xdr:cNvSpPr>
          <a:spLocks/>
        </xdr:cNvSpPr>
      </xdr:nvSpPr>
      <xdr:spPr>
        <a:xfrm>
          <a:off x="419100" y="14954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419100</xdr:colOff>
      <xdr:row>11</xdr:row>
      <xdr:rowOff>0</xdr:rowOff>
    </xdr:from>
    <xdr:to>
      <xdr:col>1</xdr:col>
      <xdr:colOff>0</xdr:colOff>
      <xdr:row>12</xdr:row>
      <xdr:rowOff>85725</xdr:rowOff>
    </xdr:to>
    <xdr:sp macro="[3]!MPAddSS">
      <xdr:nvSpPr>
        <xdr:cNvPr id="6" name="Oval 6"/>
        <xdr:cNvSpPr>
          <a:spLocks/>
        </xdr:cNvSpPr>
      </xdr:nvSpPr>
      <xdr:spPr>
        <a:xfrm>
          <a:off x="419100" y="18192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0</xdr:rowOff>
    </xdr:from>
    <xdr:to>
      <xdr:col>1</xdr:col>
      <xdr:colOff>0</xdr:colOff>
      <xdr:row>14</xdr:row>
      <xdr:rowOff>85725</xdr:rowOff>
    </xdr:to>
    <xdr:sp macro="[3]!MPAddProb">
      <xdr:nvSpPr>
        <xdr:cNvPr id="7" name="Oval 7"/>
        <xdr:cNvSpPr>
          <a:spLocks/>
        </xdr:cNvSpPr>
      </xdr:nvSpPr>
      <xdr:spPr>
        <a:xfrm>
          <a:off x="419100" y="21431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419100</xdr:colOff>
      <xdr:row>15</xdr:row>
      <xdr:rowOff>0</xdr:rowOff>
    </xdr:from>
    <xdr:to>
      <xdr:col>1</xdr:col>
      <xdr:colOff>0</xdr:colOff>
      <xdr:row>16</xdr:row>
      <xdr:rowOff>85725</xdr:rowOff>
    </xdr:to>
    <xdr:sp macro="[3]!MPAddFP">
      <xdr:nvSpPr>
        <xdr:cNvPr id="8" name="Oval 8"/>
        <xdr:cNvSpPr>
          <a:spLocks/>
        </xdr:cNvSpPr>
      </xdr:nvSpPr>
      <xdr:spPr>
        <a:xfrm>
          <a:off x="419100" y="24669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419100</xdr:colOff>
      <xdr:row>17</xdr:row>
      <xdr:rowOff>0</xdr:rowOff>
    </xdr:from>
    <xdr:to>
      <xdr:col>1</xdr:col>
      <xdr:colOff>0</xdr:colOff>
      <xdr:row>18</xdr:row>
      <xdr:rowOff>85725</xdr:rowOff>
    </xdr:to>
    <xdr:sp macro="[3]!MPAddSim">
      <xdr:nvSpPr>
        <xdr:cNvPr id="9" name="Oval 9"/>
        <xdr:cNvSpPr>
          <a:spLocks/>
        </xdr:cNvSpPr>
      </xdr:nvSpPr>
      <xdr:spPr>
        <a:xfrm>
          <a:off x="419100" y="2781300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0</xdr:rowOff>
    </xdr:from>
    <xdr:to>
      <xdr:col>1</xdr:col>
      <xdr:colOff>0</xdr:colOff>
      <xdr:row>20</xdr:row>
      <xdr:rowOff>85725</xdr:rowOff>
    </xdr:to>
    <xdr:sp macro="[3]!MPAddAbs">
      <xdr:nvSpPr>
        <xdr:cNvPr id="10" name="Oval 10"/>
        <xdr:cNvSpPr>
          <a:spLocks/>
        </xdr:cNvSpPr>
      </xdr:nvSpPr>
      <xdr:spPr>
        <a:xfrm>
          <a:off x="419100" y="30956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0</xdr:rowOff>
    </xdr:from>
    <xdr:to>
      <xdr:col>1</xdr:col>
      <xdr:colOff>0</xdr:colOff>
      <xdr:row>6</xdr:row>
      <xdr:rowOff>85725</xdr:rowOff>
    </xdr:to>
    <xdr:sp macro="[3]!MPEconCalc">
      <xdr:nvSpPr>
        <xdr:cNvPr id="1" name="Oval 1"/>
        <xdr:cNvSpPr>
          <a:spLocks/>
        </xdr:cNvSpPr>
      </xdr:nvSpPr>
      <xdr:spPr>
        <a:xfrm>
          <a:off x="419100" y="8477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0</xdr:rowOff>
    </xdr:from>
    <xdr:to>
      <xdr:col>1</xdr:col>
      <xdr:colOff>0</xdr:colOff>
      <xdr:row>8</xdr:row>
      <xdr:rowOff>85725</xdr:rowOff>
    </xdr:to>
    <xdr:sp macro="[3]!MPMatrixCall">
      <xdr:nvSpPr>
        <xdr:cNvPr id="2" name="Oval 2"/>
        <xdr:cNvSpPr>
          <a:spLocks/>
        </xdr:cNvSpPr>
      </xdr:nvSpPr>
      <xdr:spPr>
        <a:xfrm>
          <a:off x="419100" y="11715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stochmod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stochanal.xla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ations\Microsoft%20Office%20X\Office\Add-Ins\jensen.lib\stochanal.xla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ations\Microsoft%20Office%20X\Office\Add-Ins\jensen.lib\stochmod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MPAddAbs"/>
      <definedName name="MPAddEcon"/>
      <definedName name="MPAddFP"/>
      <definedName name="MPAddProb"/>
      <definedName name="MPAddSim"/>
      <definedName name="MPAddSS"/>
      <definedName name="MPAddTrans"/>
      <definedName name="MPAnalStates"/>
      <definedName name="MPCallChkSum"/>
      <definedName name="MPEconCalc"/>
      <definedName name="MPgetNumber"/>
      <definedName name="MPMatrixCall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Dec_Event"/>
      <definedName name="Dec_State"/>
      <definedName name="Inc_Event"/>
      <definedName name="Inc_State"/>
      <definedName name="SPChangeTrans"/>
      <definedName name="SPMakeMatrix"/>
      <definedName name="SPMakeModel"/>
      <definedName name="SPMakeName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workbookViewId="0" topLeftCell="A1">
      <selection activeCell="A1" sqref="A1"/>
    </sheetView>
  </sheetViews>
  <sheetFormatPr defaultColWidth="11.00390625" defaultRowHeight="12"/>
  <cols>
    <col min="1" max="1" width="17.625" style="48" customWidth="1"/>
    <col min="2" max="2" width="6.00390625" style="49" customWidth="1"/>
    <col min="3" max="3" width="85.625" style="64" customWidth="1"/>
    <col min="4" max="16384" width="12.50390625" style="48" customWidth="1"/>
  </cols>
  <sheetData>
    <row r="1" ht="18">
      <c r="C1" s="50" t="s">
        <v>122</v>
      </c>
    </row>
    <row r="2" spans="2:3" ht="25.5">
      <c r="B2" s="49" t="s">
        <v>123</v>
      </c>
      <c r="C2" s="51" t="s">
        <v>124</v>
      </c>
    </row>
    <row r="3" spans="2:3" ht="25.5">
      <c r="B3" s="49" t="s">
        <v>123</v>
      </c>
      <c r="C3" s="51" t="s">
        <v>0</v>
      </c>
    </row>
    <row r="4" spans="2:3" ht="25.5">
      <c r="B4" s="49" t="s">
        <v>123</v>
      </c>
      <c r="C4" s="51" t="s">
        <v>1</v>
      </c>
    </row>
    <row r="5" spans="2:3" ht="39">
      <c r="B5" s="49" t="s">
        <v>123</v>
      </c>
      <c r="C5" s="51" t="s">
        <v>2</v>
      </c>
    </row>
    <row r="6" spans="2:3" ht="39">
      <c r="B6" s="49" t="s">
        <v>123</v>
      </c>
      <c r="C6" s="51" t="s">
        <v>3</v>
      </c>
    </row>
    <row r="7" spans="2:3" ht="25.5">
      <c r="B7" s="49" t="s">
        <v>123</v>
      </c>
      <c r="C7" s="51" t="s">
        <v>4</v>
      </c>
    </row>
    <row r="8" spans="2:3" ht="39">
      <c r="B8" s="49" t="s">
        <v>123</v>
      </c>
      <c r="C8" s="52" t="s">
        <v>5</v>
      </c>
    </row>
    <row r="9" spans="2:3" ht="18">
      <c r="B9" s="53"/>
      <c r="C9" s="54"/>
    </row>
    <row r="10" spans="2:3" ht="18">
      <c r="B10" s="53"/>
      <c r="C10" s="54"/>
    </row>
    <row r="11" spans="1:4" ht="18">
      <c r="A11" s="55"/>
      <c r="B11" s="56"/>
      <c r="C11" s="57" t="s">
        <v>8</v>
      </c>
      <c r="D11" s="58"/>
    </row>
    <row r="12" spans="1:4" ht="15.75">
      <c r="A12"/>
      <c r="B12" s="59"/>
      <c r="C12" s="60" t="s">
        <v>6</v>
      </c>
      <c r="D12" s="61" t="s">
        <v>7</v>
      </c>
    </row>
    <row r="13" spans="1:4" ht="12.75">
      <c r="A13" s="62" t="s">
        <v>10</v>
      </c>
      <c r="B13" s="59"/>
      <c r="C13" s="63" t="s">
        <v>67</v>
      </c>
      <c r="D13" s="55" t="s">
        <v>9</v>
      </c>
    </row>
    <row r="14" spans="1:4" ht="12.75">
      <c r="A14" s="62" t="s">
        <v>11</v>
      </c>
      <c r="B14" s="59"/>
      <c r="C14" s="63" t="s">
        <v>13</v>
      </c>
      <c r="D14" s="55" t="s">
        <v>9</v>
      </c>
    </row>
    <row r="15" spans="1:4" ht="12.75">
      <c r="A15" s="62" t="s">
        <v>12</v>
      </c>
      <c r="B15" s="59"/>
      <c r="C15" s="63" t="s">
        <v>14</v>
      </c>
      <c r="D15" s="55" t="s">
        <v>9</v>
      </c>
    </row>
    <row r="16" spans="1:4" ht="12.75">
      <c r="A16"/>
      <c r="B16" s="59"/>
      <c r="C16" s="63"/>
      <c r="D16" s="55"/>
    </row>
    <row r="17" spans="1:4" ht="12.75">
      <c r="A17"/>
      <c r="B17" s="59"/>
      <c r="C17" s="63"/>
      <c r="D17" s="55"/>
    </row>
  </sheetData>
  <hyperlinks>
    <hyperlink ref="A13" location="FQ1Model!A1" display="FQ1Model"/>
    <hyperlink ref="A14" location="FQ1Matrix!A1" display="FQ1Matrix"/>
    <hyperlink ref="A15" location="FQ1Economics!A1" display="FQ1Economics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3"/>
  <sheetViews>
    <sheetView showGridLines="0" workbookViewId="0" topLeftCell="A1">
      <selection activeCell="K5" sqref="K5"/>
    </sheetView>
  </sheetViews>
  <sheetFormatPr defaultColWidth="11.00390625" defaultRowHeight="12"/>
  <cols>
    <col min="1" max="4" width="6.875" style="0" customWidth="1"/>
    <col min="5" max="8" width="8.875" style="0" customWidth="1"/>
    <col min="9" max="23" width="6.875" style="0" customWidth="1"/>
    <col min="24" max="24" width="9.00390625" style="0" customWidth="1"/>
    <col min="25" max="16384" width="6.875" style="0" customWidth="1"/>
  </cols>
  <sheetData>
    <row r="1" spans="1:6" ht="15">
      <c r="A1" s="1" t="s">
        <v>22</v>
      </c>
      <c r="E1" s="4" t="s">
        <v>25</v>
      </c>
      <c r="F1" s="6" t="s">
        <v>26</v>
      </c>
    </row>
    <row r="2" spans="5:24" ht="12.75">
      <c r="E2" s="4" t="s">
        <v>27</v>
      </c>
      <c r="F2" s="6" t="s">
        <v>28</v>
      </c>
      <c r="J2" s="4" t="s">
        <v>31</v>
      </c>
      <c r="K2" s="8" t="s">
        <v>32</v>
      </c>
      <c r="X2" s="2" t="s">
        <v>67</v>
      </c>
    </row>
    <row r="3" spans="2:6" ht="12.75">
      <c r="B3" s="65" t="s">
        <v>33</v>
      </c>
      <c r="E3" s="4" t="s">
        <v>29</v>
      </c>
      <c r="F3" s="7">
        <v>3</v>
      </c>
    </row>
    <row r="4" spans="5:24" ht="12.75">
      <c r="E4" s="4" t="s">
        <v>30</v>
      </c>
      <c r="F4" s="7">
        <v>3</v>
      </c>
      <c r="X4" s="65" t="s">
        <v>66</v>
      </c>
    </row>
    <row r="5" ht="12.75">
      <c r="B5" s="65" t="s">
        <v>23</v>
      </c>
    </row>
    <row r="7" ht="12.75">
      <c r="B7" s="65" t="s">
        <v>24</v>
      </c>
    </row>
    <row r="8" ht="13.5" thickBot="1"/>
    <row r="9" spans="1:24" ht="13.5" thickTop="1">
      <c r="A9" s="26" t="s">
        <v>35</v>
      </c>
      <c r="B9" s="27"/>
      <c r="C9" s="27"/>
      <c r="D9" s="27"/>
      <c r="E9" s="27"/>
      <c r="F9" s="27"/>
      <c r="G9" s="27"/>
      <c r="H9" s="27"/>
      <c r="I9" s="30"/>
      <c r="J9" s="26" t="s">
        <v>48</v>
      </c>
      <c r="K9" s="27"/>
      <c r="L9" s="27"/>
      <c r="M9" s="27"/>
      <c r="N9" s="27"/>
      <c r="O9" s="27"/>
      <c r="P9" s="27"/>
      <c r="Q9" s="27"/>
      <c r="R9" s="30"/>
      <c r="W9" s="4" t="s">
        <v>68</v>
      </c>
      <c r="X9" s="8">
        <v>5</v>
      </c>
    </row>
    <row r="10" spans="1:24" ht="13.5" thickBot="1">
      <c r="A10" s="21" t="s">
        <v>36</v>
      </c>
      <c r="B10" s="20"/>
      <c r="C10" s="20"/>
      <c r="D10" s="20"/>
      <c r="E10" s="20"/>
      <c r="F10" s="20"/>
      <c r="G10" s="20"/>
      <c r="H10" s="20"/>
      <c r="I10" s="31"/>
      <c r="J10" s="21" t="s">
        <v>49</v>
      </c>
      <c r="K10" s="20"/>
      <c r="L10" s="20"/>
      <c r="M10" s="20"/>
      <c r="N10" s="20"/>
      <c r="O10" s="20"/>
      <c r="P10" s="20"/>
      <c r="Q10" s="20"/>
      <c r="R10" s="31"/>
      <c r="W10" s="4" t="s">
        <v>69</v>
      </c>
      <c r="X10" s="15">
        <v>2</v>
      </c>
    </row>
    <row r="11" spans="1:24" ht="15" thickBot="1" thickTop="1">
      <c r="A11" s="22" t="s">
        <v>37</v>
      </c>
      <c r="B11" s="9" t="s">
        <v>38</v>
      </c>
      <c r="C11" s="20"/>
      <c r="D11" s="20"/>
      <c r="E11" s="20"/>
      <c r="F11" s="20"/>
      <c r="G11" s="20"/>
      <c r="H11" s="20"/>
      <c r="I11" s="31"/>
      <c r="J11" s="22" t="s">
        <v>37</v>
      </c>
      <c r="K11" s="9" t="s">
        <v>38</v>
      </c>
      <c r="L11" s="20"/>
      <c r="M11" s="20"/>
      <c r="N11" s="20"/>
      <c r="O11" s="20"/>
      <c r="P11" s="20"/>
      <c r="Q11" s="20"/>
      <c r="R11" s="31"/>
      <c r="W11" s="4" t="s">
        <v>31</v>
      </c>
      <c r="X11" s="8" t="s">
        <v>32</v>
      </c>
    </row>
    <row r="12" spans="1:24" ht="13.5" thickTop="1">
      <c r="A12" s="21"/>
      <c r="B12" s="20"/>
      <c r="C12" s="23">
        <v>1</v>
      </c>
      <c r="D12" s="23">
        <v>2</v>
      </c>
      <c r="E12" s="23">
        <v>3</v>
      </c>
      <c r="F12" s="20" t="s">
        <v>85</v>
      </c>
      <c r="G12" s="20" t="s">
        <v>86</v>
      </c>
      <c r="H12" s="20"/>
      <c r="I12" s="31"/>
      <c r="J12" s="21"/>
      <c r="K12" s="20"/>
      <c r="L12" s="23">
        <v>1</v>
      </c>
      <c r="M12" s="23">
        <v>2</v>
      </c>
      <c r="N12" s="23">
        <v>3</v>
      </c>
      <c r="O12" s="20"/>
      <c r="P12" s="20" t="s">
        <v>86</v>
      </c>
      <c r="Q12" s="20"/>
      <c r="R12" s="31"/>
      <c r="W12" s="4" t="s">
        <v>70</v>
      </c>
      <c r="X12" s="8" t="s">
        <v>71</v>
      </c>
    </row>
    <row r="13" spans="1:24" ht="13.5" thickBot="1">
      <c r="A13" s="21"/>
      <c r="B13" s="24" t="s">
        <v>41</v>
      </c>
      <c r="C13" s="12">
        <f>INT(MOD(FQ1StateInd,B18)/C18)+FQ1StateMin</f>
        <v>5</v>
      </c>
      <c r="D13" s="12">
        <f>INT(MOD(FQ1StateInd,C18)/D18)+FQ1StateMin</f>
        <v>1</v>
      </c>
      <c r="E13" s="12">
        <f>INT(MOD(FQ1StateInd,D18)/E18)+FQ1StateMin</f>
        <v>1</v>
      </c>
      <c r="F13" s="38">
        <f>MIN(FQ1Num_Service)</f>
        <v>1</v>
      </c>
      <c r="G13" s="38">
        <f>IF(F13&lt;1,MATCH(F13,FQ1Num_Service,0),0)</f>
        <v>0</v>
      </c>
      <c r="H13" s="20"/>
      <c r="I13" s="31"/>
      <c r="J13" s="21"/>
      <c r="K13" s="24" t="s">
        <v>50</v>
      </c>
      <c r="L13" s="12">
        <f>INT(MOD(FQ1EventInd,K18)/L18)+FQ1EventMin</f>
        <v>1</v>
      </c>
      <c r="M13" s="12">
        <f>INT(MOD(FQ1EventInd,L18)/M18)+FQ1EventMin</f>
        <v>1</v>
      </c>
      <c r="N13" s="12">
        <f>INT(MOD(FQ1EventInd,M18)/N18)+FQ1EventMin</f>
        <v>1</v>
      </c>
      <c r="O13" s="20"/>
      <c r="P13" s="38">
        <f>IF(FQ1Arrival=1,0,MATCH(1,FQ1Services,0))</f>
        <v>0</v>
      </c>
      <c r="Q13" s="20"/>
      <c r="R13" s="31"/>
      <c r="W13" s="4" t="s">
        <v>72</v>
      </c>
      <c r="X13" s="8">
        <v>0.01</v>
      </c>
    </row>
    <row r="14" spans="1:24" ht="15" thickBot="1" thickTop="1">
      <c r="A14" s="21"/>
      <c r="B14" s="24" t="s">
        <v>38</v>
      </c>
      <c r="C14" s="13" t="b">
        <f>AND((FQ1State&gt;=FQ1StateMin),(FQ1State&lt;=FQ1StateMax))</f>
        <v>1</v>
      </c>
      <c r="D14" s="13" t="b">
        <f>AND((FQ1State&gt;=FQ1StateMin),(FQ1State&lt;=FQ1StateMax))</f>
        <v>1</v>
      </c>
      <c r="E14" s="13" t="b">
        <f>AND((FQ1State&gt;=FQ1StateMin),(FQ1State&lt;=FQ1StateMax))</f>
        <v>1</v>
      </c>
      <c r="F14" s="14" t="b">
        <f>IF(FQ1Num_System&gt;=FQ1Num_Servers,FQ1Num_Servers=SUM(FQ1Num_Service),FQ1Num_System=SUM(FQ1Num_Service))</f>
        <v>1</v>
      </c>
      <c r="G14" s="13" t="b">
        <f>AND(FQ1StateLogic)</f>
        <v>1</v>
      </c>
      <c r="H14" s="20"/>
      <c r="I14" s="31"/>
      <c r="J14" s="21"/>
      <c r="K14" s="24" t="s">
        <v>38</v>
      </c>
      <c r="L14" s="13" t="b">
        <f>AND((FQ1Event&gt;=FQ1EventMin),(FQ1Event&lt;=FQ1EventMax))</f>
        <v>1</v>
      </c>
      <c r="M14" s="13" t="b">
        <f>AND((FQ1Event&gt;=FQ1EventMin),(FQ1Event&lt;=FQ1EventMax))</f>
        <v>1</v>
      </c>
      <c r="N14" s="13" t="b">
        <f>AND((FQ1Event&gt;=FQ1EventMin),(FQ1Event&lt;=FQ1EventMax))</f>
        <v>1</v>
      </c>
      <c r="O14" s="14" t="b">
        <f>SUM(FQ1Event)=1</f>
        <v>0</v>
      </c>
      <c r="P14" s="13" t="b">
        <f>AND(FQ1EventLogic)</f>
        <v>0</v>
      </c>
      <c r="Q14" s="20"/>
      <c r="R14" s="31"/>
      <c r="W14" s="4" t="s">
        <v>73</v>
      </c>
      <c r="X14" s="8">
        <v>1</v>
      </c>
    </row>
    <row r="15" spans="1:24" ht="13.5" thickTop="1">
      <c r="A15" s="21"/>
      <c r="B15" s="24" t="s">
        <v>39</v>
      </c>
      <c r="C15" s="35">
        <v>0</v>
      </c>
      <c r="D15" s="35">
        <v>0</v>
      </c>
      <c r="E15" s="35">
        <v>0</v>
      </c>
      <c r="F15" s="20"/>
      <c r="G15" s="20"/>
      <c r="H15" s="20"/>
      <c r="I15" s="31"/>
      <c r="J15" s="21"/>
      <c r="K15" s="24" t="s">
        <v>39</v>
      </c>
      <c r="L15" s="35">
        <v>0</v>
      </c>
      <c r="M15" s="35">
        <v>0</v>
      </c>
      <c r="N15" s="35">
        <v>0</v>
      </c>
      <c r="O15" s="20" t="s">
        <v>90</v>
      </c>
      <c r="P15" s="20"/>
      <c r="Q15" s="20"/>
      <c r="R15" s="31"/>
      <c r="W15" s="4" t="s">
        <v>74</v>
      </c>
      <c r="X15" s="15">
        <f>X14*FQ1DeltaT</f>
        <v>0.01</v>
      </c>
    </row>
    <row r="16" spans="1:25" ht="13.5" thickBot="1">
      <c r="A16" s="21"/>
      <c r="B16" s="24" t="s">
        <v>40</v>
      </c>
      <c r="C16" s="35">
        <f>FQ1Max_System</f>
        <v>5</v>
      </c>
      <c r="D16" s="35">
        <v>1</v>
      </c>
      <c r="E16" s="35">
        <v>1</v>
      </c>
      <c r="F16" s="20"/>
      <c r="G16" s="23" t="s">
        <v>46</v>
      </c>
      <c r="H16" s="20"/>
      <c r="I16" s="31"/>
      <c r="J16" s="21"/>
      <c r="K16" s="24" t="s">
        <v>40</v>
      </c>
      <c r="L16" s="35">
        <v>1</v>
      </c>
      <c r="M16" s="35">
        <f>INDEX(FQ1Num_Service,1,1)</f>
        <v>1</v>
      </c>
      <c r="N16" s="35">
        <f>INDEX(FQ1Num_Service,1,2)</f>
        <v>1</v>
      </c>
      <c r="O16" s="20"/>
      <c r="P16" s="23" t="s">
        <v>54</v>
      </c>
      <c r="Q16" s="20"/>
      <c r="R16" s="31"/>
      <c r="X16" s="5">
        <v>1</v>
      </c>
      <c r="Y16" s="5">
        <v>2</v>
      </c>
    </row>
    <row r="17" spans="1:25" ht="15" thickBot="1" thickTop="1">
      <c r="A17" s="21"/>
      <c r="B17" s="17">
        <v>23</v>
      </c>
      <c r="C17" s="15">
        <f>FQ1StateMax-FQ1StateMin+1</f>
        <v>6</v>
      </c>
      <c r="D17" s="15">
        <f>FQ1StateMax-FQ1StateMin+1</f>
        <v>2</v>
      </c>
      <c r="E17" s="15">
        <f>FQ1StateMax-FQ1StateMin+1</f>
        <v>2</v>
      </c>
      <c r="F17" s="20"/>
      <c r="G17" s="14" t="str">
        <f>CONCATENATE("S_",INDEX(FQ1State,1),"_",INDEX(FQ1State,2),"_",INDEX(FQ1State,3))</f>
        <v>S_5_1_1</v>
      </c>
      <c r="H17" s="20"/>
      <c r="I17" s="31"/>
      <c r="J17" s="21"/>
      <c r="K17" s="17">
        <v>7</v>
      </c>
      <c r="L17" s="15">
        <f>FQ1EventMax-FQ1EventMin+1</f>
        <v>2</v>
      </c>
      <c r="M17" s="15">
        <f>FQ1EventMax-FQ1EventMin+1</f>
        <v>2</v>
      </c>
      <c r="N17" s="15">
        <f>FQ1EventMax-FQ1EventMin+1</f>
        <v>2</v>
      </c>
      <c r="O17" s="20"/>
      <c r="P17" s="14" t="str">
        <f>IF(INDEX(FQ1Event,1,1)=1,"Arrival","Departure")</f>
        <v>Arrival</v>
      </c>
      <c r="Q17" s="20"/>
      <c r="R17" s="31"/>
      <c r="W17" s="4" t="s">
        <v>75</v>
      </c>
      <c r="X17" s="11">
        <v>0.305</v>
      </c>
      <c r="Y17" s="11">
        <v>0.612</v>
      </c>
    </row>
    <row r="18" spans="1:25" ht="13.5" thickTop="1">
      <c r="A18" s="21"/>
      <c r="B18" s="15">
        <f>C17*C18</f>
        <v>24</v>
      </c>
      <c r="C18" s="15">
        <f>D17*D18</f>
        <v>4</v>
      </c>
      <c r="D18" s="15">
        <f>E17*E18</f>
        <v>2</v>
      </c>
      <c r="E18" s="15">
        <v>1</v>
      </c>
      <c r="F18" s="20"/>
      <c r="G18" s="20"/>
      <c r="H18" s="20"/>
      <c r="I18" s="31"/>
      <c r="J18" s="21"/>
      <c r="K18" s="15">
        <f>L17*L18</f>
        <v>8</v>
      </c>
      <c r="L18" s="15">
        <f>M17*M18</f>
        <v>4</v>
      </c>
      <c r="M18" s="15">
        <f>N17*N18</f>
        <v>2</v>
      </c>
      <c r="N18" s="15">
        <v>1</v>
      </c>
      <c r="O18" s="20"/>
      <c r="P18" s="20"/>
      <c r="Q18" s="20"/>
      <c r="R18" s="31"/>
      <c r="X18" s="5">
        <v>1</v>
      </c>
      <c r="Y18" s="5">
        <v>2</v>
      </c>
    </row>
    <row r="19" spans="1:25" ht="13.5" thickBot="1">
      <c r="A19" s="21"/>
      <c r="B19" s="20"/>
      <c r="C19" s="20"/>
      <c r="D19" s="20"/>
      <c r="E19" s="20"/>
      <c r="F19" s="20"/>
      <c r="G19" s="23" t="s">
        <v>47</v>
      </c>
      <c r="H19" s="20"/>
      <c r="I19" s="31"/>
      <c r="J19" s="21"/>
      <c r="K19" s="20"/>
      <c r="L19" s="20"/>
      <c r="M19" s="20"/>
      <c r="N19" s="20"/>
      <c r="O19" s="20"/>
      <c r="P19" s="20"/>
      <c r="Q19" s="20"/>
      <c r="R19" s="31"/>
      <c r="W19" s="4" t="s">
        <v>76</v>
      </c>
      <c r="X19" s="35">
        <f>X17*FQ1DeltaT</f>
        <v>0.00305</v>
      </c>
      <c r="Y19" s="35">
        <f>Y17*FQ1DeltaT</f>
        <v>0.0061200000000000004</v>
      </c>
    </row>
    <row r="20" spans="1:24" ht="15" thickBot="1" thickTop="1">
      <c r="A20" s="19" t="s">
        <v>42</v>
      </c>
      <c r="B20" s="20"/>
      <c r="C20" s="20"/>
      <c r="D20" s="20"/>
      <c r="E20" s="20"/>
      <c r="F20" s="20"/>
      <c r="G20" s="18">
        <f>INDEX(FQ1State,1,1)*FQ1HC</f>
        <v>0.1</v>
      </c>
      <c r="H20" s="20"/>
      <c r="I20" s="31"/>
      <c r="J20" s="19" t="s">
        <v>42</v>
      </c>
      <c r="K20" s="20"/>
      <c r="L20" s="20"/>
      <c r="M20" s="20"/>
      <c r="N20" s="20"/>
      <c r="O20" s="20"/>
      <c r="P20" s="20"/>
      <c r="Q20" s="20"/>
      <c r="R20" s="31"/>
      <c r="W20" s="4" t="s">
        <v>77</v>
      </c>
      <c r="X20" s="8">
        <v>2</v>
      </c>
    </row>
    <row r="21" spans="1:24" ht="13.5" thickTop="1">
      <c r="A21" s="25" t="s">
        <v>43</v>
      </c>
      <c r="B21" s="20" t="s">
        <v>82</v>
      </c>
      <c r="C21" s="20"/>
      <c r="D21" s="20"/>
      <c r="E21" s="20"/>
      <c r="F21" s="20"/>
      <c r="G21" s="20"/>
      <c r="H21" s="20"/>
      <c r="I21" s="31"/>
      <c r="J21" s="25" t="s">
        <v>51</v>
      </c>
      <c r="K21" s="20" t="s">
        <v>87</v>
      </c>
      <c r="L21" s="20"/>
      <c r="M21" s="20"/>
      <c r="N21" s="20"/>
      <c r="O21" s="20"/>
      <c r="P21" s="20"/>
      <c r="Q21" s="20"/>
      <c r="R21" s="31"/>
      <c r="W21" s="4" t="s">
        <v>78</v>
      </c>
      <c r="X21" s="15">
        <f>X20*FQ1DeltaT</f>
        <v>0.02</v>
      </c>
    </row>
    <row r="22" spans="1:24" ht="12.75">
      <c r="A22" s="25" t="s">
        <v>44</v>
      </c>
      <c r="B22" s="20" t="s">
        <v>83</v>
      </c>
      <c r="C22" s="20"/>
      <c r="D22" s="20"/>
      <c r="E22" s="20"/>
      <c r="F22" s="20"/>
      <c r="G22" s="20"/>
      <c r="H22" s="20"/>
      <c r="I22" s="31"/>
      <c r="J22" s="25" t="s">
        <v>52</v>
      </c>
      <c r="K22" s="20" t="s">
        <v>88</v>
      </c>
      <c r="L22" s="20"/>
      <c r="M22" s="20"/>
      <c r="N22" s="20"/>
      <c r="O22" s="20"/>
      <c r="P22" s="20"/>
      <c r="Q22" s="20"/>
      <c r="R22" s="31"/>
      <c r="W22" s="4" t="s">
        <v>79</v>
      </c>
      <c r="X22" s="8">
        <v>0</v>
      </c>
    </row>
    <row r="23" spans="1:24" ht="12.75">
      <c r="A23" s="25" t="s">
        <v>45</v>
      </c>
      <c r="B23" s="20" t="s">
        <v>84</v>
      </c>
      <c r="C23" s="20"/>
      <c r="D23" s="20"/>
      <c r="E23" s="20"/>
      <c r="F23" s="20"/>
      <c r="G23" s="20"/>
      <c r="H23" s="20"/>
      <c r="I23" s="31"/>
      <c r="J23" s="25" t="s">
        <v>53</v>
      </c>
      <c r="K23" s="20" t="s">
        <v>89</v>
      </c>
      <c r="L23" s="20"/>
      <c r="M23" s="20"/>
      <c r="N23" s="20"/>
      <c r="O23" s="20"/>
      <c r="P23" s="20"/>
      <c r="Q23" s="20"/>
      <c r="R23" s="31"/>
      <c r="W23" s="4" t="s">
        <v>80</v>
      </c>
      <c r="X23" s="8">
        <v>-20</v>
      </c>
    </row>
    <row r="24" spans="1:24" ht="12.75">
      <c r="A24" s="21"/>
      <c r="B24" s="20"/>
      <c r="C24" s="20"/>
      <c r="D24" s="20"/>
      <c r="E24" s="20"/>
      <c r="F24" s="20"/>
      <c r="G24" s="20"/>
      <c r="H24" s="20"/>
      <c r="I24" s="31"/>
      <c r="J24" s="21"/>
      <c r="K24" s="20"/>
      <c r="L24" s="20"/>
      <c r="M24" s="20"/>
      <c r="N24" s="20"/>
      <c r="O24" s="20"/>
      <c r="P24" s="20"/>
      <c r="Q24" s="20"/>
      <c r="R24" s="31"/>
      <c r="W24" s="4" t="s">
        <v>81</v>
      </c>
      <c r="X24" s="8">
        <v>0</v>
      </c>
    </row>
    <row r="25" spans="1:18" ht="13.5" thickBot="1">
      <c r="A25" s="28"/>
      <c r="B25" s="29"/>
      <c r="C25" s="29"/>
      <c r="D25" s="29"/>
      <c r="E25" s="29"/>
      <c r="F25" s="29"/>
      <c r="G25" s="29"/>
      <c r="H25" s="29"/>
      <c r="I25" s="32"/>
      <c r="J25" s="28"/>
      <c r="K25" s="29"/>
      <c r="L25" s="29"/>
      <c r="M25" s="29"/>
      <c r="N25" s="29"/>
      <c r="O25" s="29"/>
      <c r="P25" s="29"/>
      <c r="Q25" s="29"/>
      <c r="R25" s="32"/>
    </row>
    <row r="26" spans="1:18" ht="13.5" thickTop="1">
      <c r="A26" s="26" t="s">
        <v>55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30"/>
    </row>
    <row r="27" spans="1:18" ht="12.75">
      <c r="A27" s="21" t="s">
        <v>91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31"/>
    </row>
    <row r="28" spans="1:18" ht="12.75">
      <c r="A28" s="21"/>
      <c r="B28" s="24" t="s">
        <v>41</v>
      </c>
      <c r="C28" s="23">
        <v>1</v>
      </c>
      <c r="D28" s="23">
        <v>2</v>
      </c>
      <c r="E28" s="23">
        <v>3</v>
      </c>
      <c r="F28" s="20"/>
      <c r="G28" s="20"/>
      <c r="H28" s="20"/>
      <c r="I28" s="20"/>
      <c r="J28" s="20"/>
      <c r="K28" s="24" t="s">
        <v>50</v>
      </c>
      <c r="L28" s="23">
        <v>1</v>
      </c>
      <c r="M28" s="23">
        <v>2</v>
      </c>
      <c r="N28" s="23">
        <v>3</v>
      </c>
      <c r="O28" s="20"/>
      <c r="P28" s="20"/>
      <c r="Q28" s="20"/>
      <c r="R28" s="31"/>
    </row>
    <row r="29" spans="1:18" ht="12.75">
      <c r="A29" s="21"/>
      <c r="B29" s="23" t="s">
        <v>39</v>
      </c>
      <c r="C29" s="15">
        <f>FQ1StateMin</f>
        <v>0</v>
      </c>
      <c r="D29" s="15">
        <f>FQ1StateMin</f>
        <v>0</v>
      </c>
      <c r="E29" s="15">
        <f>FQ1StateMin</f>
        <v>0</v>
      </c>
      <c r="F29" s="20"/>
      <c r="G29" s="20"/>
      <c r="H29" s="20"/>
      <c r="I29" s="20"/>
      <c r="J29" s="20"/>
      <c r="K29" s="23" t="s">
        <v>39</v>
      </c>
      <c r="L29" s="15">
        <v>1</v>
      </c>
      <c r="M29" s="15">
        <f>FQ1EventMin</f>
        <v>0</v>
      </c>
      <c r="N29" s="15">
        <f>FQ1EventMin</f>
        <v>0</v>
      </c>
      <c r="O29" s="20"/>
      <c r="P29" s="20"/>
      <c r="Q29" s="20"/>
      <c r="R29" s="31"/>
    </row>
    <row r="30" spans="1:18" ht="13.5" thickBot="1">
      <c r="A30" s="21"/>
      <c r="B30" s="23" t="s">
        <v>40</v>
      </c>
      <c r="C30" s="15">
        <f>FQ1StateMax</f>
        <v>5</v>
      </c>
      <c r="D30" s="15">
        <f>FQ1StateMax</f>
        <v>1</v>
      </c>
      <c r="E30" s="15">
        <f>FQ1StateMax</f>
        <v>1</v>
      </c>
      <c r="F30" s="20"/>
      <c r="G30" s="20"/>
      <c r="H30" s="20"/>
      <c r="I30" s="20"/>
      <c r="J30" s="20"/>
      <c r="K30" s="23" t="s">
        <v>40</v>
      </c>
      <c r="L30" s="15">
        <f>FQ1EventMax</f>
        <v>1</v>
      </c>
      <c r="M30" s="15">
        <v>0</v>
      </c>
      <c r="N30" s="15">
        <v>0</v>
      </c>
      <c r="O30" s="20"/>
      <c r="P30" s="20"/>
      <c r="Q30" s="20"/>
      <c r="R30" s="31"/>
    </row>
    <row r="31" spans="1:18" ht="15" thickBot="1" thickTop="1">
      <c r="A31" s="21"/>
      <c r="B31" s="20"/>
      <c r="C31" s="13" t="b">
        <f>AND(FQ1State&gt;=C29,FQ1State&lt;=C30)</f>
        <v>1</v>
      </c>
      <c r="D31" s="13" t="b">
        <f>AND(FQ1State&gt;=D29,FQ1State&lt;=D30)</f>
        <v>1</v>
      </c>
      <c r="E31" s="13" t="b">
        <f>AND(FQ1State&gt;=E29,FQ1State&lt;=E30)</f>
        <v>1</v>
      </c>
      <c r="F31" s="14" t="b">
        <f>TRUE</f>
        <v>1</v>
      </c>
      <c r="G31" s="13" t="b">
        <f>AND(C31:F31)</f>
        <v>1</v>
      </c>
      <c r="H31" s="20"/>
      <c r="I31" s="20"/>
      <c r="J31" s="20"/>
      <c r="K31" s="20"/>
      <c r="L31" s="13" t="b">
        <f>AND(FQ1Event&gt;=L29,FQ1Event&lt;=L30)</f>
        <v>1</v>
      </c>
      <c r="M31" s="13" t="b">
        <f>AND(FQ1Event&gt;=M29,FQ1Event&lt;=M30)</f>
        <v>0</v>
      </c>
      <c r="N31" s="13" t="b">
        <f>AND(FQ1Event&gt;=N29,FQ1Event&lt;=N30)</f>
        <v>0</v>
      </c>
      <c r="O31" s="14" t="b">
        <f>TRUE</f>
        <v>1</v>
      </c>
      <c r="P31" s="13" t="b">
        <f>AND(L31:O31)</f>
        <v>0</v>
      </c>
      <c r="Q31" s="20"/>
      <c r="R31" s="31"/>
    </row>
    <row r="32" spans="1:18" ht="15" thickBot="1" thickTop="1">
      <c r="A32" s="21"/>
      <c r="B32" s="23" t="s">
        <v>57</v>
      </c>
      <c r="C32" s="23" t="s">
        <v>58</v>
      </c>
      <c r="D32" s="23" t="s">
        <v>59</v>
      </c>
      <c r="E32" s="23" t="s">
        <v>60</v>
      </c>
      <c r="F32" s="23" t="s">
        <v>61</v>
      </c>
      <c r="G32" s="23" t="s">
        <v>62</v>
      </c>
      <c r="H32" s="20"/>
      <c r="I32" s="23" t="s">
        <v>63</v>
      </c>
      <c r="J32" s="20"/>
      <c r="K32" s="23" t="s">
        <v>64</v>
      </c>
      <c r="L32" s="20"/>
      <c r="M32" s="20"/>
      <c r="N32" s="20"/>
      <c r="O32" s="20"/>
      <c r="P32" s="20"/>
      <c r="Q32" s="20"/>
      <c r="R32" s="31"/>
    </row>
    <row r="33" spans="1:18" ht="15" thickBot="1" thickTop="1">
      <c r="A33" s="33" t="s">
        <v>56</v>
      </c>
      <c r="B33" s="13" t="b">
        <f>AND(FQ1TransStateLogic1,FQ1TransEventLogic1,NOT(ISERROR(FQ1TransInd1)))</f>
        <v>0</v>
      </c>
      <c r="C33" s="14">
        <f>MIN(FQ1Max_System,FQ1Num_System+1)</f>
        <v>5</v>
      </c>
      <c r="D33" s="14">
        <f>INDEX(FQ1Num_Service,1,1)+IF(FQ1Server_Arrive=1,1,0)</f>
        <v>1</v>
      </c>
      <c r="E33" s="14">
        <f>INDEX(FQ1Num_Service,1,2)+IF(FQ1Server_Arrive=2,1,0)</f>
        <v>1</v>
      </c>
      <c r="F33" s="13">
        <f>DGET(FQ1StateList,"index",C32:E33)</f>
        <v>7</v>
      </c>
      <c r="G33" s="13" t="str">
        <f>DGET(FQ1StateList,"name",C32:E33)</f>
        <v>S_5_1_1</v>
      </c>
      <c r="H33" s="20"/>
      <c r="I33" s="14">
        <f>FQ1P_enter</f>
        <v>0.01</v>
      </c>
      <c r="J33" s="20"/>
      <c r="K33" s="14">
        <f>IF(FQ1Num_System&lt;FQ1Max_System,FQ1CE,FQ1CB)</f>
        <v>0</v>
      </c>
      <c r="L33" s="20"/>
      <c r="M33" s="20"/>
      <c r="N33" s="20"/>
      <c r="O33" s="20"/>
      <c r="P33" s="20"/>
      <c r="Q33" s="20"/>
      <c r="R33" s="31"/>
    </row>
    <row r="34" spans="1:18" ht="13.5" thickTop="1">
      <c r="A34" s="21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31"/>
    </row>
    <row r="35" spans="1:18" ht="13.5" thickBo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2"/>
    </row>
    <row r="36" spans="1:18" ht="13.5" thickTop="1">
      <c r="A36" s="26" t="s">
        <v>55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30"/>
    </row>
    <row r="37" spans="1:18" ht="12.75">
      <c r="A37" s="21" t="s">
        <v>92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31"/>
    </row>
    <row r="38" spans="1:18" ht="12.75">
      <c r="A38" s="21"/>
      <c r="B38" s="24" t="s">
        <v>41</v>
      </c>
      <c r="C38" s="23">
        <v>1</v>
      </c>
      <c r="D38" s="23">
        <v>2</v>
      </c>
      <c r="E38" s="23">
        <v>3</v>
      </c>
      <c r="F38" s="20"/>
      <c r="G38" s="20"/>
      <c r="H38" s="20"/>
      <c r="I38" s="20"/>
      <c r="J38" s="20"/>
      <c r="K38" s="24" t="s">
        <v>50</v>
      </c>
      <c r="L38" s="23">
        <v>1</v>
      </c>
      <c r="M38" s="23">
        <v>2</v>
      </c>
      <c r="N38" s="23">
        <v>3</v>
      </c>
      <c r="O38" s="20"/>
      <c r="P38" s="20"/>
      <c r="Q38" s="20"/>
      <c r="R38" s="31"/>
    </row>
    <row r="39" spans="1:18" ht="12.75">
      <c r="A39" s="21"/>
      <c r="B39" s="23" t="s">
        <v>39</v>
      </c>
      <c r="C39" s="15">
        <v>1</v>
      </c>
      <c r="D39" s="15">
        <f>FQ1StateMin</f>
        <v>0</v>
      </c>
      <c r="E39" s="15">
        <f>FQ1StateMin</f>
        <v>0</v>
      </c>
      <c r="F39" s="20"/>
      <c r="G39" s="20"/>
      <c r="H39" s="20"/>
      <c r="I39" s="20"/>
      <c r="J39" s="20"/>
      <c r="K39" s="23" t="s">
        <v>39</v>
      </c>
      <c r="L39" s="15">
        <f>FQ1EventMin</f>
        <v>0</v>
      </c>
      <c r="M39" s="15">
        <f>FQ1EventMin</f>
        <v>0</v>
      </c>
      <c r="N39" s="15">
        <f>FQ1EventMin</f>
        <v>0</v>
      </c>
      <c r="O39" s="20"/>
      <c r="P39" s="20"/>
      <c r="Q39" s="20"/>
      <c r="R39" s="31"/>
    </row>
    <row r="40" spans="1:18" ht="13.5" thickBot="1">
      <c r="A40" s="21"/>
      <c r="B40" s="23" t="s">
        <v>40</v>
      </c>
      <c r="C40" s="15">
        <f>FQ1StateMax</f>
        <v>5</v>
      </c>
      <c r="D40" s="15">
        <f>FQ1StateMax</f>
        <v>1</v>
      </c>
      <c r="E40" s="15">
        <f>FQ1StateMax</f>
        <v>1</v>
      </c>
      <c r="F40" s="20"/>
      <c r="G40" s="20"/>
      <c r="H40" s="20"/>
      <c r="I40" s="20"/>
      <c r="J40" s="20"/>
      <c r="K40" s="23" t="s">
        <v>40</v>
      </c>
      <c r="L40" s="15">
        <v>0</v>
      </c>
      <c r="M40" s="15">
        <f>FQ1EventMax</f>
        <v>1</v>
      </c>
      <c r="N40" s="15">
        <f>FQ1EventMax</f>
        <v>1</v>
      </c>
      <c r="O40" s="20"/>
      <c r="P40" s="20"/>
      <c r="Q40" s="20"/>
      <c r="R40" s="31"/>
    </row>
    <row r="41" spans="1:18" ht="15" thickBot="1" thickTop="1">
      <c r="A41" s="21"/>
      <c r="B41" s="20"/>
      <c r="C41" s="13" t="b">
        <f>AND(FQ1State&gt;=C39,FQ1State&lt;=C40)</f>
        <v>1</v>
      </c>
      <c r="D41" s="13" t="b">
        <f>AND(FQ1State&gt;=D39,FQ1State&lt;=D40)</f>
        <v>1</v>
      </c>
      <c r="E41" s="13" t="b">
        <f>AND(FQ1State&gt;=E39,FQ1State&lt;=E40)</f>
        <v>1</v>
      </c>
      <c r="F41" s="14" t="b">
        <f>TRUE</f>
        <v>1</v>
      </c>
      <c r="G41" s="13" t="b">
        <f>AND(C41:F41)</f>
        <v>1</v>
      </c>
      <c r="H41" s="20"/>
      <c r="I41" s="20"/>
      <c r="J41" s="20"/>
      <c r="K41" s="20"/>
      <c r="L41" s="13" t="b">
        <f>AND(FQ1Event&gt;=L39,FQ1Event&lt;=L40)</f>
        <v>0</v>
      </c>
      <c r="M41" s="13" t="b">
        <f>AND(FQ1Event&gt;=M39,FQ1Event&lt;=M40)</f>
        <v>1</v>
      </c>
      <c r="N41" s="13" t="b">
        <f>AND(FQ1Event&gt;=N39,FQ1Event&lt;=N40)</f>
        <v>1</v>
      </c>
      <c r="O41" s="14" t="b">
        <f>TRUE</f>
        <v>1</v>
      </c>
      <c r="P41" s="13" t="b">
        <f>AND(L41:O41)</f>
        <v>0</v>
      </c>
      <c r="Q41" s="20"/>
      <c r="R41" s="31"/>
    </row>
    <row r="42" spans="1:18" ht="15" thickBot="1" thickTop="1">
      <c r="A42" s="21"/>
      <c r="B42" s="23" t="s">
        <v>57</v>
      </c>
      <c r="C42" s="23" t="s">
        <v>58</v>
      </c>
      <c r="D42" s="23" t="s">
        <v>59</v>
      </c>
      <c r="E42" s="23" t="s">
        <v>60</v>
      </c>
      <c r="F42" s="23" t="s">
        <v>61</v>
      </c>
      <c r="G42" s="23" t="s">
        <v>62</v>
      </c>
      <c r="H42" s="20"/>
      <c r="I42" s="23" t="s">
        <v>63</v>
      </c>
      <c r="J42" s="20"/>
      <c r="K42" s="23" t="s">
        <v>64</v>
      </c>
      <c r="L42" s="20"/>
      <c r="M42" s="20"/>
      <c r="N42" s="20"/>
      <c r="O42" s="20"/>
      <c r="P42" s="20"/>
      <c r="Q42" s="20"/>
      <c r="R42" s="31"/>
    </row>
    <row r="43" spans="1:18" ht="15" thickBot="1" thickTop="1">
      <c r="A43" s="33" t="s">
        <v>56</v>
      </c>
      <c r="B43" s="13" t="b">
        <f>AND(FQ1TransStateLogic2,FQ1TransEventLogic2,NOT(ISERROR(FQ1TransInd2)))</f>
        <v>0</v>
      </c>
      <c r="C43" s="14">
        <f>MAX(0,FQ1Num_System-1)</f>
        <v>4</v>
      </c>
      <c r="D43" s="14">
        <f>INDEX(FQ1Num_Service,1,1)-IF(AND(FQ1Server_Depart=1,FQ1Num_System&lt;=FQ1Num_Servers),1,0)</f>
        <v>1</v>
      </c>
      <c r="E43" s="14">
        <f>INDEX(FQ1Num_Service,1,2)-IF(AND(FQ1Server_Depart=2,FQ1Num_System&lt;=FQ1Num_Servers),1,0)</f>
        <v>1</v>
      </c>
      <c r="F43" s="13">
        <f>DGET(FQ1StateList,"index",C42:E43)</f>
        <v>6</v>
      </c>
      <c r="G43" s="13" t="str">
        <f>DGET(FQ1StateList,"name",C42:E43)</f>
        <v>S_4_1_1</v>
      </c>
      <c r="H43" s="20"/>
      <c r="I43" s="14">
        <f>SUMPRODUCT(FQ1Services,FQ1P_leave)</f>
        <v>0.009170000000000001</v>
      </c>
      <c r="J43" s="20"/>
      <c r="K43" s="14">
        <f>FQ1CL</f>
        <v>-20</v>
      </c>
      <c r="L43" s="20"/>
      <c r="M43" s="20"/>
      <c r="N43" s="20"/>
      <c r="O43" s="20"/>
      <c r="P43" s="20"/>
      <c r="Q43" s="20"/>
      <c r="R43" s="31"/>
    </row>
    <row r="44" spans="1:18" ht="13.5" thickTop="1">
      <c r="A44" s="21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31"/>
    </row>
    <row r="45" spans="1:18" ht="13.5" thickBot="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2"/>
    </row>
    <row r="46" spans="1:8" s="40" customFormat="1" ht="25.5" thickTop="1">
      <c r="A46" s="5" t="s">
        <v>61</v>
      </c>
      <c r="B46" s="5" t="s">
        <v>58</v>
      </c>
      <c r="C46" s="5" t="s">
        <v>59</v>
      </c>
      <c r="D46" s="5" t="s">
        <v>60</v>
      </c>
      <c r="E46" s="5" t="s">
        <v>62</v>
      </c>
      <c r="F46" s="39" t="s">
        <v>82</v>
      </c>
      <c r="G46" s="39" t="s">
        <v>93</v>
      </c>
      <c r="H46" s="39" t="s">
        <v>94</v>
      </c>
    </row>
    <row r="47" spans="1:8" ht="12.75">
      <c r="A47" s="5">
        <v>1</v>
      </c>
      <c r="B47" s="5">
        <v>0</v>
      </c>
      <c r="C47" s="5">
        <v>0</v>
      </c>
      <c r="D47" s="5">
        <v>0</v>
      </c>
      <c r="E47" s="5" t="s">
        <v>65</v>
      </c>
      <c r="F47" s="5">
        <v>0</v>
      </c>
      <c r="G47" s="5">
        <v>0</v>
      </c>
      <c r="H47" s="5">
        <v>0</v>
      </c>
    </row>
    <row r="48" spans="1:8" ht="12.75">
      <c r="A48" s="5">
        <v>2</v>
      </c>
      <c r="B48" s="5">
        <v>1</v>
      </c>
      <c r="C48" s="5">
        <v>0</v>
      </c>
      <c r="D48" s="5">
        <v>1</v>
      </c>
      <c r="E48" s="5" t="s">
        <v>95</v>
      </c>
      <c r="F48" s="5">
        <v>1</v>
      </c>
      <c r="G48" s="5">
        <v>0</v>
      </c>
      <c r="H48" s="5">
        <v>0</v>
      </c>
    </row>
    <row r="49" spans="1:8" ht="12.75">
      <c r="A49" s="5">
        <v>3</v>
      </c>
      <c r="B49" s="5">
        <v>1</v>
      </c>
      <c r="C49" s="5">
        <v>1</v>
      </c>
      <c r="D49" s="5">
        <v>0</v>
      </c>
      <c r="E49" s="5" t="s">
        <v>96</v>
      </c>
      <c r="F49" s="5">
        <v>1</v>
      </c>
      <c r="G49" s="5">
        <v>0</v>
      </c>
      <c r="H49" s="5">
        <v>0</v>
      </c>
    </row>
    <row r="50" spans="1:8" ht="12.75">
      <c r="A50" s="5">
        <v>4</v>
      </c>
      <c r="B50" s="5">
        <v>2</v>
      </c>
      <c r="C50" s="5">
        <v>1</v>
      </c>
      <c r="D50" s="5">
        <v>1</v>
      </c>
      <c r="E50" s="5" t="s">
        <v>97</v>
      </c>
      <c r="F50" s="5">
        <v>2</v>
      </c>
      <c r="G50" s="5">
        <v>0</v>
      </c>
      <c r="H50" s="5">
        <v>0</v>
      </c>
    </row>
    <row r="51" spans="1:8" ht="12.75">
      <c r="A51" s="5">
        <v>5</v>
      </c>
      <c r="B51" s="5">
        <v>3</v>
      </c>
      <c r="C51" s="5">
        <v>1</v>
      </c>
      <c r="D51" s="5">
        <v>1</v>
      </c>
      <c r="E51" s="5" t="s">
        <v>98</v>
      </c>
      <c r="F51" s="5">
        <v>3</v>
      </c>
      <c r="G51" s="5">
        <v>1</v>
      </c>
      <c r="H51" s="5">
        <v>0</v>
      </c>
    </row>
    <row r="52" spans="1:8" ht="12.75">
      <c r="A52" s="5">
        <v>6</v>
      </c>
      <c r="B52" s="5">
        <v>4</v>
      </c>
      <c r="C52" s="5">
        <v>1</v>
      </c>
      <c r="D52" s="5">
        <v>1</v>
      </c>
      <c r="E52" s="5" t="s">
        <v>99</v>
      </c>
      <c r="F52" s="5">
        <v>4</v>
      </c>
      <c r="G52" s="5">
        <v>2</v>
      </c>
      <c r="H52" s="5">
        <v>0</v>
      </c>
    </row>
    <row r="53" spans="1:8" ht="12.75">
      <c r="A53" s="5">
        <v>7</v>
      </c>
      <c r="B53" s="5">
        <v>5</v>
      </c>
      <c r="C53" s="5">
        <v>1</v>
      </c>
      <c r="D53" s="5">
        <v>1</v>
      </c>
      <c r="E53" s="5" t="s">
        <v>100</v>
      </c>
      <c r="F53" s="5">
        <v>5</v>
      </c>
      <c r="G53" s="5">
        <v>3</v>
      </c>
      <c r="H53" s="5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showGridLines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8" sqref="G8"/>
    </sheetView>
  </sheetViews>
  <sheetFormatPr defaultColWidth="11.00390625" defaultRowHeight="12"/>
  <cols>
    <col min="1" max="16384" width="8.875" style="0" customWidth="1"/>
  </cols>
  <sheetData>
    <row r="1" ht="15.75">
      <c r="A1" s="66" t="s">
        <v>101</v>
      </c>
    </row>
    <row r="2" spans="1:7" ht="12.75">
      <c r="A2" s="4" t="s">
        <v>27</v>
      </c>
      <c r="B2" s="7" t="s">
        <v>34</v>
      </c>
      <c r="E2" s="10" t="s">
        <v>37</v>
      </c>
      <c r="G2" t="s">
        <v>18</v>
      </c>
    </row>
    <row r="3" spans="1:7" ht="12.75">
      <c r="A3" s="4" t="s">
        <v>102</v>
      </c>
      <c r="B3" s="7" t="s">
        <v>26</v>
      </c>
      <c r="D3" s="3" t="s">
        <v>106</v>
      </c>
      <c r="E3" s="10" t="s">
        <v>103</v>
      </c>
      <c r="G3" t="s">
        <v>19</v>
      </c>
    </row>
    <row r="4" spans="3:7" ht="12.75">
      <c r="C4" s="3" t="s">
        <v>105</v>
      </c>
      <c r="E4" s="41" t="s">
        <v>16</v>
      </c>
      <c r="G4" t="s">
        <v>20</v>
      </c>
    </row>
    <row r="5" spans="4:7" ht="12.75">
      <c r="D5" s="3" t="s">
        <v>107</v>
      </c>
      <c r="G5" t="s">
        <v>21</v>
      </c>
    </row>
    <row r="6" spans="5:15" s="5" customFormat="1" ht="12.75">
      <c r="E6" s="10" t="s">
        <v>41</v>
      </c>
      <c r="F6" s="7">
        <v>7</v>
      </c>
      <c r="G6" s="44">
        <f>INDEX(FQ1State_Indices,1)</f>
        <v>0</v>
      </c>
      <c r="H6" s="44">
        <f>INDEX(FQ1State_Indices,2)</f>
        <v>1</v>
      </c>
      <c r="I6" s="44">
        <f>INDEX(FQ1State_Indices,3)</f>
        <v>2</v>
      </c>
      <c r="J6" s="44">
        <f>INDEX(FQ1State_Indices,4)</f>
        <v>3</v>
      </c>
      <c r="K6" s="44">
        <f>INDEX(FQ1State_Indices,5)</f>
        <v>4</v>
      </c>
      <c r="L6" s="44">
        <f>INDEX(FQ1State_Indices,6)</f>
        <v>5</v>
      </c>
      <c r="M6" s="44">
        <f>INDEX(FQ1State_Indices,7)</f>
        <v>6</v>
      </c>
      <c r="N6"/>
      <c r="O6"/>
    </row>
    <row r="7" spans="4:15" s="5" customFormat="1" ht="12.75">
      <c r="D7" s="10" t="s">
        <v>61</v>
      </c>
      <c r="E7" s="10" t="s">
        <v>104</v>
      </c>
      <c r="G7" s="46" t="str">
        <f>INDEX(FQ1State_Names,1)</f>
        <v>S_0_0_0</v>
      </c>
      <c r="H7" s="46" t="str">
        <f>INDEX(FQ1State_Names,2)</f>
        <v>S_1_0_1</v>
      </c>
      <c r="I7" s="46" t="str">
        <f>INDEX(FQ1State_Names,3)</f>
        <v>S_1_1_0</v>
      </c>
      <c r="J7" s="46" t="str">
        <f>INDEX(FQ1State_Names,4)</f>
        <v>S_2_1_1</v>
      </c>
      <c r="K7" s="46" t="str">
        <f>INDEX(FQ1State_Names,5)</f>
        <v>S_3_1_1</v>
      </c>
      <c r="L7" s="46" t="str">
        <f>INDEX(FQ1State_Names,6)</f>
        <v>S_4_1_1</v>
      </c>
      <c r="M7" s="46" t="str">
        <f>INDEX(FQ1State_Names,7)</f>
        <v>S_5_1_1</v>
      </c>
      <c r="N7" s="10" t="s">
        <v>115</v>
      </c>
      <c r="O7" s="10" t="s">
        <v>116</v>
      </c>
    </row>
    <row r="8" spans="2:15" ht="12.75">
      <c r="B8" s="3" t="s">
        <v>108</v>
      </c>
      <c r="D8" s="42">
        <v>0</v>
      </c>
      <c r="E8" s="43" t="s">
        <v>65</v>
      </c>
      <c r="F8" s="46" t="str">
        <f>INDEX(FQ1State_Names,1)</f>
        <v>S_0_0_0</v>
      </c>
      <c r="G8" s="45">
        <v>0.9900000002235174</v>
      </c>
      <c r="H8" s="45">
        <v>0</v>
      </c>
      <c r="I8" s="45">
        <v>0.009999999776482582</v>
      </c>
      <c r="J8" s="45">
        <v>0</v>
      </c>
      <c r="K8" s="45">
        <v>0</v>
      </c>
      <c r="L8" s="45">
        <v>0</v>
      </c>
      <c r="M8" s="45">
        <v>0</v>
      </c>
      <c r="N8" s="34">
        <f>SUM(INDEX(FQ1_P,1,))</f>
        <v>1</v>
      </c>
      <c r="O8" s="16" t="s">
        <v>17</v>
      </c>
    </row>
    <row r="9" spans="4:15" ht="12.75">
      <c r="D9" s="42">
        <v>1</v>
      </c>
      <c r="E9" s="43" t="s">
        <v>95</v>
      </c>
      <c r="F9" s="46" t="str">
        <f>INDEX(FQ1State_Names,2)</f>
        <v>S_1_0_1</v>
      </c>
      <c r="G9" s="45">
        <v>0.006120000034570694</v>
      </c>
      <c r="H9" s="45">
        <v>0.9838800001889467</v>
      </c>
      <c r="I9" s="45">
        <v>0</v>
      </c>
      <c r="J9" s="45">
        <v>0.009999999776482582</v>
      </c>
      <c r="K9" s="45">
        <v>0</v>
      </c>
      <c r="L9" s="45">
        <v>0</v>
      </c>
      <c r="M9" s="45">
        <v>0</v>
      </c>
      <c r="N9" s="34">
        <f>SUM(INDEX(FQ1_P,2,))</f>
        <v>1</v>
      </c>
      <c r="O9" s="16" t="s">
        <v>17</v>
      </c>
    </row>
    <row r="10" spans="2:15" ht="12.75">
      <c r="B10" s="3" t="s">
        <v>109</v>
      </c>
      <c r="D10" s="42">
        <v>2</v>
      </c>
      <c r="E10" s="43" t="s">
        <v>96</v>
      </c>
      <c r="F10" s="46" t="str">
        <f>INDEX(FQ1State_Names,3)</f>
        <v>S_1_1_0</v>
      </c>
      <c r="G10" s="45">
        <v>0.0030499999411404133</v>
      </c>
      <c r="H10" s="45">
        <v>0</v>
      </c>
      <c r="I10" s="45">
        <v>0.986950000282377</v>
      </c>
      <c r="J10" s="45">
        <v>0.009999999776482582</v>
      </c>
      <c r="K10" s="45">
        <v>0</v>
      </c>
      <c r="L10" s="45">
        <v>0</v>
      </c>
      <c r="M10" s="45">
        <v>0</v>
      </c>
      <c r="N10" s="34">
        <f>SUM(INDEX(FQ1_P,3,))</f>
        <v>1</v>
      </c>
      <c r="O10" s="16" t="s">
        <v>17</v>
      </c>
    </row>
    <row r="11" spans="4:15" ht="12.75">
      <c r="D11" s="42">
        <v>3</v>
      </c>
      <c r="E11" s="43" t="s">
        <v>97</v>
      </c>
      <c r="F11" s="46" t="str">
        <f>INDEX(FQ1State_Names,4)</f>
        <v>S_2_1_1</v>
      </c>
      <c r="G11" s="45">
        <v>0</v>
      </c>
      <c r="H11" s="45">
        <v>0.0030499999411404133</v>
      </c>
      <c r="I11" s="45">
        <v>0.006120000034570694</v>
      </c>
      <c r="J11" s="45">
        <v>0.9808300002478063</v>
      </c>
      <c r="K11" s="45">
        <v>0.009999999776482582</v>
      </c>
      <c r="L11" s="45">
        <v>0</v>
      </c>
      <c r="M11" s="45">
        <v>0</v>
      </c>
      <c r="N11" s="34">
        <f>SUM(INDEX(FQ1_P,4,))</f>
        <v>1</v>
      </c>
      <c r="O11" s="16" t="s">
        <v>17</v>
      </c>
    </row>
    <row r="12" spans="2:15" ht="12.75">
      <c r="B12" s="3" t="s">
        <v>110</v>
      </c>
      <c r="D12" s="42">
        <v>4</v>
      </c>
      <c r="E12" s="43" t="s">
        <v>98</v>
      </c>
      <c r="F12" s="46" t="str">
        <f>INDEX(FQ1State_Names,5)</f>
        <v>S_3_1_1</v>
      </c>
      <c r="G12" s="45">
        <v>0</v>
      </c>
      <c r="H12" s="45">
        <v>0</v>
      </c>
      <c r="I12" s="45">
        <v>0</v>
      </c>
      <c r="J12" s="45">
        <v>0.00916999951004982</v>
      </c>
      <c r="K12" s="45">
        <v>0.9808300007134676</v>
      </c>
      <c r="L12" s="45">
        <v>0.009999999776482582</v>
      </c>
      <c r="M12" s="45">
        <v>0</v>
      </c>
      <c r="N12" s="34">
        <f>SUM(INDEX(FQ1_P,5,))</f>
        <v>1</v>
      </c>
      <c r="O12" s="16" t="s">
        <v>17</v>
      </c>
    </row>
    <row r="13" spans="4:15" ht="12.75">
      <c r="D13" s="42">
        <v>5</v>
      </c>
      <c r="E13" s="43" t="s">
        <v>99</v>
      </c>
      <c r="F13" s="46" t="str">
        <f>INDEX(FQ1State_Names,6)</f>
        <v>S_4_1_1</v>
      </c>
      <c r="G13" s="45">
        <v>0</v>
      </c>
      <c r="H13" s="45">
        <v>0</v>
      </c>
      <c r="I13" s="45">
        <v>0</v>
      </c>
      <c r="J13" s="45">
        <v>0</v>
      </c>
      <c r="K13" s="45">
        <v>0.00916999951004982</v>
      </c>
      <c r="L13" s="45">
        <v>0.9808300007134676</v>
      </c>
      <c r="M13" s="45">
        <v>0.009999999776482582</v>
      </c>
      <c r="N13" s="34">
        <f>SUM(INDEX(FQ1_P,6,))</f>
        <v>1</v>
      </c>
      <c r="O13" s="16" t="s">
        <v>17</v>
      </c>
    </row>
    <row r="14" spans="2:15" ht="12.75">
      <c r="B14" s="3" t="s">
        <v>111</v>
      </c>
      <c r="D14" s="42">
        <v>6</v>
      </c>
      <c r="E14" s="43" t="s">
        <v>100</v>
      </c>
      <c r="F14" s="46" t="str">
        <f>INDEX(FQ1State_Names,7)</f>
        <v>S_5_1_1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0.00916999951004982</v>
      </c>
      <c r="M14" s="45">
        <v>0.9908300004899502</v>
      </c>
      <c r="N14" s="34">
        <f>SUM(INDEX(FQ1_P,7,))</f>
        <v>1</v>
      </c>
      <c r="O14" s="16" t="s">
        <v>17</v>
      </c>
    </row>
    <row r="15" spans="6:13" ht="12.75">
      <c r="F15" s="10" t="s">
        <v>115</v>
      </c>
      <c r="G15" s="34">
        <f>SUM(INDEX(FQ1_P,,1))</f>
        <v>0.9991700001992285</v>
      </c>
      <c r="H15" s="34">
        <f>SUM(INDEX(FQ1_P,,2))</f>
        <v>0.9869300001300871</v>
      </c>
      <c r="I15" s="34">
        <f>SUM(INDEX(FQ1_P,,3))</f>
        <v>1.0030700000934303</v>
      </c>
      <c r="J15" s="34">
        <f>SUM(INDEX(FQ1_P,,4))</f>
        <v>1.0099999993108213</v>
      </c>
      <c r="K15" s="34">
        <f>SUM(INDEX(FQ1_P,,5))</f>
        <v>1</v>
      </c>
      <c r="L15" s="34">
        <f>SUM(INDEX(FQ1_P,,6))</f>
        <v>1</v>
      </c>
      <c r="M15" s="34">
        <f>SUM(INDEX(FQ1_P,,7))</f>
        <v>1.0008300002664328</v>
      </c>
    </row>
    <row r="16" ht="12.75">
      <c r="B16" s="3" t="s">
        <v>112</v>
      </c>
    </row>
    <row r="18" ht="12.75">
      <c r="B18" s="3" t="s">
        <v>113</v>
      </c>
    </row>
    <row r="20" ht="12.75">
      <c r="B20" s="3" t="s">
        <v>114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11.00390625" defaultRowHeight="12"/>
  <cols>
    <col min="1" max="16384" width="8.875" style="0" customWidth="1"/>
  </cols>
  <sheetData>
    <row r="1" spans="1:6" ht="15.75">
      <c r="A1" s="66" t="s">
        <v>117</v>
      </c>
      <c r="D1" s="10" t="s">
        <v>119</v>
      </c>
      <c r="E1" s="10"/>
      <c r="F1" s="10"/>
    </row>
    <row r="2" spans="1:8" ht="12.75">
      <c r="A2" s="4" t="s">
        <v>27</v>
      </c>
      <c r="B2" s="7" t="s">
        <v>34</v>
      </c>
      <c r="C2" s="10" t="s">
        <v>118</v>
      </c>
      <c r="D2" s="10" t="s">
        <v>120</v>
      </c>
      <c r="E2" s="10"/>
      <c r="F2" s="10"/>
      <c r="H2" s="2" t="str">
        <f>"Transition "&amp;FQ1EconMeas&amp;" Matrix"</f>
        <v>Transition Cost Matrix</v>
      </c>
    </row>
    <row r="3" spans="1:13" ht="12.75">
      <c r="A3" s="4" t="s">
        <v>102</v>
      </c>
      <c r="B3" s="7" t="s">
        <v>26</v>
      </c>
      <c r="C3" s="10" t="s">
        <v>103</v>
      </c>
      <c r="D3" s="10" t="str">
        <f>FQ1TimeMeas</f>
        <v>0.01 Minute</v>
      </c>
      <c r="E3" s="10" t="s">
        <v>41</v>
      </c>
      <c r="F3" s="10" t="s">
        <v>15</v>
      </c>
      <c r="G3" s="5">
        <f>INDEX(FQ1State_Indices,1)</f>
        <v>0</v>
      </c>
      <c r="H3" s="5">
        <f>INDEX(FQ1State_Indices,2)</f>
        <v>1</v>
      </c>
      <c r="I3" s="5">
        <f>INDEX(FQ1State_Indices,3)</f>
        <v>2</v>
      </c>
      <c r="J3" s="5">
        <f>INDEX(FQ1State_Indices,4)</f>
        <v>3</v>
      </c>
      <c r="K3" s="5">
        <f>INDEX(FQ1State_Indices,5)</f>
        <v>4</v>
      </c>
      <c r="L3" s="5">
        <f>INDEX(FQ1State_Indices,6)</f>
        <v>5</v>
      </c>
      <c r="M3" s="5">
        <f>INDEX(FQ1State_Indices,7)</f>
        <v>6</v>
      </c>
    </row>
    <row r="4" spans="3:13" ht="12.75">
      <c r="C4" s="41" t="s">
        <v>32</v>
      </c>
      <c r="D4" s="45">
        <v>0.1</v>
      </c>
      <c r="E4" s="10" t="str">
        <f>FQ1EconMeas</f>
        <v>Cost</v>
      </c>
      <c r="F4" s="10" t="str">
        <f>FQ1EconMeas</f>
        <v>Cost</v>
      </c>
      <c r="G4" s="7" t="str">
        <f>INDEX(FQ1State_Names,1)</f>
        <v>S_0_0_0</v>
      </c>
      <c r="H4" s="7" t="str">
        <f>INDEX(FQ1State_Names,2)</f>
        <v>S_1_0_1</v>
      </c>
      <c r="I4" s="7" t="str">
        <f>INDEX(FQ1State_Names,3)</f>
        <v>S_1_1_0</v>
      </c>
      <c r="J4" s="7" t="str">
        <f>INDEX(FQ1State_Names,4)</f>
        <v>S_2_1_1</v>
      </c>
      <c r="K4" s="7" t="str">
        <f>INDEX(FQ1State_Names,5)</f>
        <v>S_3_1_1</v>
      </c>
      <c r="L4" s="7" t="str">
        <f>INDEX(FQ1State_Names,6)</f>
        <v>S_4_1_1</v>
      </c>
      <c r="M4" s="7" t="str">
        <f>INDEX(FQ1State_Names,7)</f>
        <v>S_5_1_1</v>
      </c>
    </row>
    <row r="5" spans="3:13" ht="12.75">
      <c r="C5" s="5">
        <v>0</v>
      </c>
      <c r="D5" s="7" t="str">
        <f>INDEX(FQ1State_Names,1)</f>
        <v>S_0_0_0</v>
      </c>
      <c r="E5" s="45">
        <v>0</v>
      </c>
      <c r="F5" s="37">
        <f>INDEX(FQ1State_Cost,1)+SUMPRODUCT(INDEX(FQ1Trans_Cost,1,),INDEX(FQ1_P,1,))</f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</row>
    <row r="6" spans="2:13" ht="12.75">
      <c r="B6" s="3" t="s">
        <v>106</v>
      </c>
      <c r="C6" s="5">
        <v>1</v>
      </c>
      <c r="D6" s="7" t="str">
        <f>INDEX(FQ1State_Names,2)</f>
        <v>S_1_0_1</v>
      </c>
      <c r="E6" s="45">
        <v>0.02</v>
      </c>
      <c r="F6" s="36">
        <f>INDEX(FQ1State_Cost,2)+SUMPRODUCT(INDEX(FQ1Trans_Cost,2,),INDEX(FQ1_P,2,))</f>
        <v>-0.10240000069141388</v>
      </c>
      <c r="G6" s="45">
        <v>-20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</row>
    <row r="7" spans="3:13" ht="12.75">
      <c r="C7" s="5">
        <v>2</v>
      </c>
      <c r="D7" s="7" t="str">
        <f>INDEX(FQ1State_Names,3)</f>
        <v>S_1_1_0</v>
      </c>
      <c r="E7" s="45">
        <v>0.02</v>
      </c>
      <c r="F7" s="36">
        <f>INDEX(FQ1State_Cost,3)+SUMPRODUCT(INDEX(FQ1Trans_Cost,3,),INDEX(FQ1_P,3,))</f>
        <v>-0.04099999696016311</v>
      </c>
      <c r="G7" s="45">
        <v>-19.99999938929666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</row>
    <row r="8" spans="2:13" ht="12.75">
      <c r="B8" s="3" t="s">
        <v>121</v>
      </c>
      <c r="C8" s="5">
        <v>3</v>
      </c>
      <c r="D8" s="7" t="str">
        <f>INDEX(FQ1State_Names,4)</f>
        <v>S_2_1_1</v>
      </c>
      <c r="E8" s="45">
        <v>0.04</v>
      </c>
      <c r="F8" s="36">
        <f>INDEX(FQ1State_Cost,4)+SUMPRODUCT(INDEX(FQ1Trans_Cost,4,),INDEX(FQ1_P,4,))</f>
        <v>-0.143399997651577</v>
      </c>
      <c r="G8" s="45">
        <v>0</v>
      </c>
      <c r="H8" s="45">
        <v>-19.99999938929666</v>
      </c>
      <c r="I8" s="45">
        <v>-20</v>
      </c>
      <c r="J8" s="45">
        <v>0</v>
      </c>
      <c r="K8" s="45">
        <v>0</v>
      </c>
      <c r="L8" s="45">
        <v>0</v>
      </c>
      <c r="M8" s="45">
        <v>0</v>
      </c>
    </row>
    <row r="9" spans="3:13" ht="12.75">
      <c r="C9" s="5">
        <v>4</v>
      </c>
      <c r="D9" s="7" t="str">
        <f>INDEX(FQ1State_Names,5)</f>
        <v>S_3_1_1</v>
      </c>
      <c r="E9" s="45">
        <v>0.06</v>
      </c>
      <c r="F9" s="36">
        <f>INDEX(FQ1State_Cost,5)+SUMPRODUCT(INDEX(FQ1Trans_Cost,5,),INDEX(FQ1_P,5,))</f>
        <v>-0.123399997651577</v>
      </c>
      <c r="G9" s="45">
        <v>0</v>
      </c>
      <c r="H9" s="45">
        <v>0</v>
      </c>
      <c r="I9" s="45">
        <v>0</v>
      </c>
      <c r="J9" s="45">
        <v>-20.000000812495202</v>
      </c>
      <c r="K9" s="45">
        <v>0</v>
      </c>
      <c r="L9" s="45">
        <v>0</v>
      </c>
      <c r="M9" s="45">
        <v>0</v>
      </c>
    </row>
    <row r="10" spans="3:13" ht="12.75">
      <c r="C10" s="5">
        <v>5</v>
      </c>
      <c r="D10" s="7" t="str">
        <f>INDEX(FQ1State_Names,6)</f>
        <v>S_4_1_1</v>
      </c>
      <c r="E10" s="45">
        <v>0.08</v>
      </c>
      <c r="F10" s="36">
        <f>INDEX(FQ1State_Cost,6)+SUMPRODUCT(INDEX(FQ1Trans_Cost,6,),INDEX(FQ1_P,6,))</f>
        <v>-0.103399997651577</v>
      </c>
      <c r="G10" s="45">
        <v>0</v>
      </c>
      <c r="H10" s="45">
        <v>0</v>
      </c>
      <c r="I10" s="45">
        <v>0</v>
      </c>
      <c r="J10" s="45">
        <v>0</v>
      </c>
      <c r="K10" s="45">
        <v>-20.000000812495202</v>
      </c>
      <c r="L10" s="45">
        <v>0</v>
      </c>
      <c r="M10" s="45">
        <v>0</v>
      </c>
    </row>
    <row r="11" spans="3:13" ht="12.75">
      <c r="C11" s="5">
        <v>6</v>
      </c>
      <c r="D11" s="7" t="str">
        <f>INDEX(FQ1State_Names,7)</f>
        <v>S_5_1_1</v>
      </c>
      <c r="E11" s="45">
        <v>0.1</v>
      </c>
      <c r="F11" s="47">
        <f>INDEX(FQ1State_Cost,7)+SUMPRODUCT(INDEX(FQ1Trans_Cost,7,),INDEX(FQ1_P,7,))</f>
        <v>-0.08339999765157699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-20.000000812495202</v>
      </c>
      <c r="M11" s="4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dcterms:created xsi:type="dcterms:W3CDTF">2001-07-25T14:44:41Z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