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9620" windowHeight="10880" tabRatio="307" activeTab="1"/>
  </bookViews>
  <sheets>
    <sheet name="Sheet1" sheetId="1" r:id="rId1"/>
    <sheet name="Pump" sheetId="2" r:id="rId2"/>
    <sheet name="Pump_Schedule" sheetId="3" r:id="rId3"/>
    <sheet name="Sheet2" sheetId="4" r:id="rId4"/>
    <sheet name="Sheet3" sheetId="5" r:id="rId5"/>
  </sheets>
  <externalReferences>
    <externalReference r:id="rId8"/>
  </externalReferences>
  <definedNames>
    <definedName name="Pump_ActCrit">'Pump'!$E$10:$E$23</definedName>
    <definedName name="Pump_ActData">'Pump'!$E$7:$Z$23</definedName>
    <definedName name="Pump_ActDesc">'Pump'!$G$10:$G$23</definedName>
    <definedName name="Pump_ActDiff">'Pump'!$Z$7</definedName>
    <definedName name="Pump_ActEF">'Pump'!$W$10:$W$23</definedName>
    <definedName name="Pump_ActES">'Pump'!$U$10:$U$23</definedName>
    <definedName name="Pump_ActLF">'Pump'!$X$10:$X$23</definedName>
    <definedName name="Pump_ActLS">'Pump'!$V$10:$V$23</definedName>
    <definedName name="Pump_ActMax">'Pump'!$J$10:$J$23</definedName>
    <definedName name="Pump_ActMean">'Pump'!$K$10:$K$23</definedName>
    <definedName name="Pump_ActMin">'Pump'!$H$10:$H$23</definedName>
    <definedName name="Pump_ActMost">'Pump'!$I$10:$I$23</definedName>
    <definedName name="Pump_ActName">'Pump'!$F$10:$F$23</definedName>
    <definedName name="Pump_ActNearCrit">'Pump'!$Z$10:$Z$23</definedName>
    <definedName name="Pump_ActPred">'Pump'!$O$10:$R$23</definedName>
    <definedName name="Pump_ActRes">'Pump'!$S$10:$S$23</definedName>
    <definedName name="Pump_ActResName">'Pump'!$S$9</definedName>
    <definedName name="Pump_ActSD">'Pump'!$L$10:$L$23</definedName>
    <definedName name="Pump_ActSlack">'Pump'!$Y$10:$Y$23</definedName>
    <definedName name="Pump_ActSort">'Pump'!$T$10:$T$23</definedName>
    <definedName name="Pump_ActTime">'Pump'!$N$10:$N$23</definedName>
    <definedName name="Pump_ActVar">'Pump'!$M$10:$M$23</definedName>
    <definedName name="Pump_ArcCritical">'Pump'!$AU$9:$AU$29</definedName>
    <definedName name="Pump_ArcData">'Pump'!$AP$6:$AU$29</definedName>
    <definedName name="Pump_Arcs">'Pump'!$AP$9:$AP$29</definedName>
    <definedName name="Pump_Bucket">'Pump_Schedule'!$B$6</definedName>
    <definedName name="Pump_Chart">'Pump_Schedule'!$R$9:$CG$24</definedName>
    <definedName name="Pump_EarlyFinish">'Pump'!$AI$9:$AI$24</definedName>
    <definedName name="Pump_EarlyStart">'Pump'!$AG$9:$AG$24</definedName>
    <definedName name="Pump_From">'Pump'!$AQ$9:$AQ$29</definedName>
    <definedName name="Pump_FromName">'Pump'!$AS$9:$AS$29</definedName>
    <definedName name="Pump_LastFinish">'Pump_Schedule'!$O$24</definedName>
    <definedName name="Pump_LateFinish">'Pump'!$AJ$9:$AJ$24</definedName>
    <definedName name="Pump_LateStart">'Pump'!$AH$9:$AH$24</definedName>
    <definedName name="Pump_Measure">'Pump'!$N$9</definedName>
    <definedName name="Pump_NodeCritical">'Pump'!$AK$9:$AK$24</definedName>
    <definedName name="Pump_NodeData">'Pump'!$AC$6:$AM$24</definedName>
    <definedName name="Pump_NodeDepth">'Pump'!$AM$9:$AM$24</definedName>
    <definedName name="Pump_NodeLevel">'Pump'!$AL$9:$AL$24</definedName>
    <definedName name="Pump_NodeName">'Pump'!$AE$9:$AE$24</definedName>
    <definedName name="Pump_Nodes">'Pump'!$AC$9:$AC$24</definedName>
    <definedName name="Pump_NodeSort">'Pump'!$AD$9:$AD$24</definedName>
    <definedName name="Pump_NodeTime">'Pump'!$AF$9:$AF$24</definedName>
    <definedName name="Pump_NumPred">'Pump'!$O$25</definedName>
    <definedName name="Pump_ProjCritTime">'Pump'!$AG$24</definedName>
    <definedName name="Pump_ProjDue">'Pump'!$B$15</definedName>
    <definedName name="Pump_ProjEF">'Pump'!$B$11</definedName>
    <definedName name="Pump_ProjProb">'Pump'!$B$16</definedName>
    <definedName name="Pump_ProjSD">'Pump'!$B$13</definedName>
    <definedName name="Pump_ProjVar">'Pump'!$B$12</definedName>
    <definedName name="Pump_Res">'Pump_Schedule'!$P$9:$P$24</definedName>
    <definedName name="Pump_Res1">'Pump_Schedule'!$P$9:$P$24</definedName>
    <definedName name="Pump_ResAvail">'Pump_Schedule'!$B$16</definedName>
    <definedName name="Pump_ResShortCost">'Pump_Schedule'!$C$16</definedName>
    <definedName name="Pump_ResShortTotal">'Pump_Schedule'!$D$16</definedName>
    <definedName name="Pump_ResTotalCost">'Pump_Schedule'!$R$30:$CG$30</definedName>
    <definedName name="Pump_SchedData">'Pump_Schedule'!$E$6:$CG$30</definedName>
    <definedName name="Pump_SchedDelay">'Pump_Schedule'!$M$9:$M$24</definedName>
    <definedName name="Pump_SchedDelayCost">'Pump_Schedule'!$B$11</definedName>
    <definedName name="Pump_SchedDelayProj">'Pump_Schedule'!$B$10</definedName>
    <definedName name="Pump_SchedEarly">'Pump_Schedule'!$B$12</definedName>
    <definedName name="Pump_SchedFeas">'Pump_Schedule'!$B$26</definedName>
    <definedName name="Pump_SchedFinish">'Pump_Schedule'!$O$9:$O$24</definedName>
    <definedName name="Pump_SchedLast">'Pump_Schedule'!$B$13</definedName>
    <definedName name="Pump_SchedSlack">'Pump_Schedule'!$L$9:$L$24</definedName>
    <definedName name="Pump_SchedStart">'Pump_Schedule'!$N$9:$N$24</definedName>
    <definedName name="Pump_SchedStartEarly">'Pump_Schedule'!$J$9:$J$24</definedName>
    <definedName name="Pump_SchedStartLate">'Pump_Schedule'!$K$9:$K$24</definedName>
    <definedName name="Pump_T">'Pump_Schedule'!$R$8:$CH$8</definedName>
    <definedName name="Pump_To">'Pump'!$AR$9:$AR$29</definedName>
    <definedName name="Pump_ToName">'Pump'!$AT$9:$AT$29</definedName>
    <definedName name="Pump_TotCost">'Pump_Schedule'!$B$21</definedName>
  </definedNames>
  <calcPr fullCalcOnLoad="1"/>
</workbook>
</file>

<file path=xl/sharedStrings.xml><?xml version="1.0" encoding="utf-8"?>
<sst xmlns="http://schemas.openxmlformats.org/spreadsheetml/2006/main" count="180" uniqueCount="104">
  <si>
    <t>Project Management</t>
  </si>
  <si>
    <t>Activity Data</t>
  </si>
  <si>
    <t>Critical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</si>
  <si>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</si>
  <si>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</si>
  <si>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</si>
  <si>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</si>
  <si>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</si>
  <si>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</si>
  <si>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</si>
  <si>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</si>
  <si>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</si>
  <si>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</si>
  <si>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</si>
  <si>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</si>
  <si>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</si>
  <si>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</si>
  <si>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</si>
  <si>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Description</t>
  </si>
  <si>
    <t>Activity Time Estimates</t>
  </si>
  <si>
    <t>Min.</t>
  </si>
  <si>
    <t>Most</t>
  </si>
  <si>
    <t>Likely</t>
  </si>
  <si>
    <t>Max.</t>
  </si>
  <si>
    <t>Mean</t>
  </si>
  <si>
    <t>S.D.</t>
  </si>
  <si>
    <t>Var.</t>
  </si>
  <si>
    <t>Time</t>
  </si>
  <si>
    <t>Hours</t>
  </si>
  <si>
    <t>Predecessors</t>
  </si>
  <si>
    <t>Num. Predecessors</t>
  </si>
  <si>
    <t>Resources</t>
  </si>
  <si>
    <t>Sort</t>
  </si>
  <si>
    <t>Early</t>
  </si>
  <si>
    <t>Start</t>
  </si>
  <si>
    <t>Late</t>
  </si>
  <si>
    <t>Finish</t>
  </si>
  <si>
    <t>Slack</t>
  </si>
  <si>
    <t>Difference</t>
  </si>
  <si>
    <t>Near</t>
  </si>
  <si>
    <t>Solve</t>
  </si>
  <si>
    <t>Change</t>
  </si>
  <si>
    <t>POUR SLAB</t>
  </si>
  <si>
    <t>ORDER PUMP UNIT</t>
  </si>
  <si>
    <t>CUT PATH</t>
  </si>
  <si>
    <t>CURE SLAB</t>
  </si>
  <si>
    <t>DELIVER UNIT</t>
  </si>
  <si>
    <t>RUN FLOW LINE</t>
  </si>
  <si>
    <t>RUN ELECTRIC LINE</t>
  </si>
  <si>
    <t>MOUNT UNIT</t>
  </si>
  <si>
    <t>INSTALL ELECTRIC MOTOR</t>
  </si>
  <si>
    <t>RUN SUCKER RODS</t>
  </si>
  <si>
    <t>TIE IN, TEST MOTOR</t>
  </si>
  <si>
    <t>NIPPLE UP WELL HEAD</t>
  </si>
  <si>
    <t>TEST PUMP</t>
  </si>
  <si>
    <t>OPEN VALUES</t>
  </si>
  <si>
    <t>Crew</t>
  </si>
  <si>
    <t>Activity on Node Network</t>
  </si>
  <si>
    <t>Sorted Activity Nodes</t>
  </si>
  <si>
    <t>Index</t>
  </si>
  <si>
    <t>End</t>
  </si>
  <si>
    <t>Node</t>
  </si>
  <si>
    <t>Level</t>
  </si>
  <si>
    <t>Depth</t>
  </si>
  <si>
    <t>Sorted Precedence Arcs</t>
  </si>
  <si>
    <t>From</t>
  </si>
  <si>
    <t>To</t>
  </si>
  <si>
    <t>Arc</t>
  </si>
  <si>
    <t>Show Critical</t>
  </si>
  <si>
    <t>Graph</t>
  </si>
  <si>
    <t>Schedule</t>
  </si>
  <si>
    <t>Critical Path</t>
  </si>
  <si>
    <t>Exp. Time</t>
  </si>
  <si>
    <t>Var. Time</t>
  </si>
  <si>
    <t>SD. Time</t>
  </si>
  <si>
    <t>Due</t>
  </si>
  <si>
    <t>Probability</t>
  </si>
  <si>
    <t>Schedule Pump</t>
  </si>
  <si>
    <t>Bucket</t>
  </si>
  <si>
    <t>Activities</t>
  </si>
  <si>
    <t>Activity</t>
  </si>
  <si>
    <t>Delay</t>
  </si>
  <si>
    <t>Sched.</t>
  </si>
  <si>
    <t>Color</t>
  </si>
  <si>
    <t>Used</t>
  </si>
  <si>
    <t>Available</t>
  </si>
  <si>
    <t>Shortage</t>
  </si>
  <si>
    <t>Shortage Unit Cost</t>
  </si>
  <si>
    <t>Shortage Cost</t>
  </si>
  <si>
    <t>Project</t>
  </si>
  <si>
    <t>Completion Time</t>
  </si>
  <si>
    <t>Max Delay</t>
  </si>
  <si>
    <t>Delay Unit Cost</t>
  </si>
  <si>
    <t>/Hours</t>
  </si>
  <si>
    <t>Earliest</t>
  </si>
  <si>
    <t>Scheduled</t>
  </si>
  <si>
    <t>Avail.</t>
  </si>
  <si>
    <t>Unit Cost</t>
  </si>
  <si>
    <t>Cost</t>
  </si>
  <si>
    <t>Schedule Costs</t>
  </si>
  <si>
    <t>Total</t>
  </si>
  <si>
    <t>Feasibility</t>
  </si>
  <si>
    <t>Feasible</t>
  </si>
  <si>
    <t>Search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</si>
</sst>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sz val="10"/>
      <color indexed="9"/>
      <name val="Verdana"/>
      <family val="0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ck"/>
      <right style="thick"/>
      <top style="thick"/>
      <bottom style="thin">
        <color indexed="61"/>
      </bottom>
    </border>
    <border>
      <left style="thick"/>
      <right style="thick"/>
      <top style="thin">
        <color indexed="61"/>
      </top>
      <bottom style="thin">
        <color indexed="61"/>
      </bottom>
    </border>
    <border>
      <left style="thick"/>
      <right style="thick"/>
      <top style="thin">
        <color indexed="61"/>
      </top>
      <bottom style="thick"/>
    </border>
    <border>
      <left style="thick"/>
      <right style="thin">
        <color indexed="61"/>
      </right>
      <top style="thin">
        <color indexed="61"/>
      </top>
      <bottom style="thin">
        <color indexed="61"/>
      </bottom>
    </border>
    <border>
      <left style="thick"/>
      <right style="thin">
        <color indexed="61"/>
      </right>
      <top style="thick"/>
      <bottom style="thin">
        <color indexed="61"/>
      </bottom>
    </border>
    <border>
      <left style="thick"/>
      <right style="thin">
        <color indexed="61"/>
      </right>
      <top style="thin">
        <color indexed="61"/>
      </top>
      <bottom style="thick"/>
    </border>
    <border>
      <left style="thin">
        <color indexed="61"/>
      </left>
      <right style="thin">
        <color indexed="61"/>
      </right>
      <top style="thick"/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ck"/>
    </border>
    <border>
      <left style="thin">
        <color indexed="61"/>
      </left>
      <right style="thick"/>
      <top style="thick"/>
      <bottom style="thin">
        <color indexed="61"/>
      </bottom>
    </border>
    <border>
      <left style="thin">
        <color indexed="61"/>
      </left>
      <right style="thick"/>
      <top style="thin">
        <color indexed="61"/>
      </top>
      <bottom style="thin">
        <color indexed="61"/>
      </bottom>
    </border>
    <border>
      <left style="thin">
        <color indexed="61"/>
      </left>
      <right style="thick"/>
      <top style="thin">
        <color indexed="61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0" xfId="0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5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6" xfId="0" applyFill="1" applyBorder="1" applyAlignment="1">
      <alignment/>
    </xf>
    <xf numFmtId="0" fontId="0" fillId="8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10" borderId="6" xfId="0" applyFill="1" applyBorder="1" applyAlignment="1">
      <alignment/>
    </xf>
    <xf numFmtId="0" fontId="0" fillId="11" borderId="6" xfId="0" applyFill="1" applyBorder="1" applyAlignment="1">
      <alignment/>
    </xf>
    <xf numFmtId="0" fontId="0" fillId="12" borderId="6" xfId="0" applyFill="1" applyBorder="1" applyAlignment="1">
      <alignment/>
    </xf>
    <xf numFmtId="0" fontId="0" fillId="13" borderId="6" xfId="0" applyFill="1" applyBorder="1" applyAlignment="1">
      <alignment/>
    </xf>
    <xf numFmtId="0" fontId="0" fillId="14" borderId="6" xfId="0" applyFill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2" borderId="3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ont>
        <color rgb="FFFF0000"/>
      </font>
      <fill>
        <patternFill>
          <bgColor rgb="FFFF0000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FF"/>
      </font>
      <fill>
        <patternFill>
          <bgColor rgb="FFFF00FF"/>
        </patternFill>
      </fill>
      <border/>
    </dxf>
    <dxf>
      <font>
        <color rgb="FF00FFFF"/>
      </font>
      <fill>
        <patternFill>
          <bgColor rgb="FF00FFFF"/>
        </patternFill>
      </fill>
      <border/>
    </dxf>
    <dxf>
      <font>
        <color rgb="FF800000"/>
      </font>
      <fill>
        <patternFill>
          <bgColor rgb="FF800000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color rgb="FF000080"/>
      </font>
      <fill>
        <patternFill>
          <bgColor rgb="FF000080"/>
        </patternFill>
      </fill>
      <border/>
    </dxf>
    <dxf>
      <font>
        <color rgb="FF808000"/>
      </font>
      <fill>
        <patternFill>
          <bgColor rgb="FF8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</xdr:col>
      <xdr:colOff>0</xdr:colOff>
      <xdr:row>3</xdr:row>
      <xdr:rowOff>85725</xdr:rowOff>
    </xdr:to>
    <xdr:sp macro="[1]!ProjSolveModel">
      <xdr:nvSpPr>
        <xdr:cNvPr id="1" name="Oval 8"/>
        <xdr:cNvSpPr>
          <a:spLocks/>
        </xdr:cNvSpPr>
      </xdr:nvSpPr>
      <xdr:spPr>
        <a:xfrm>
          <a:off x="600075" y="3619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600075</xdr:colOff>
      <xdr:row>4</xdr:row>
      <xdr:rowOff>0</xdr:rowOff>
    </xdr:from>
    <xdr:to>
      <xdr:col>1</xdr:col>
      <xdr:colOff>0</xdr:colOff>
      <xdr:row>5</xdr:row>
      <xdr:rowOff>85725</xdr:rowOff>
    </xdr:to>
    <xdr:sp macro="[1]!ProjChangeNetwork">
      <xdr:nvSpPr>
        <xdr:cNvPr id="2" name="Oval 9"/>
        <xdr:cNvSpPr>
          <a:spLocks/>
        </xdr:cNvSpPr>
      </xdr:nvSpPr>
      <xdr:spPr>
        <a:xfrm>
          <a:off x="600075" y="6858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3</xdr:col>
      <xdr:colOff>0</xdr:colOff>
      <xdr:row>3</xdr:row>
      <xdr:rowOff>85725</xdr:rowOff>
    </xdr:to>
    <xdr:sp macro="[1]!ProjActCritical">
      <xdr:nvSpPr>
        <xdr:cNvPr id="3" name="Oval 10"/>
        <xdr:cNvSpPr>
          <a:spLocks/>
        </xdr:cNvSpPr>
      </xdr:nvSpPr>
      <xdr:spPr>
        <a:xfrm>
          <a:off x="1628775" y="3619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295275</xdr:colOff>
      <xdr:row>4</xdr:row>
      <xdr:rowOff>0</xdr:rowOff>
    </xdr:from>
    <xdr:to>
      <xdr:col>3</xdr:col>
      <xdr:colOff>0</xdr:colOff>
      <xdr:row>5</xdr:row>
      <xdr:rowOff>85725</xdr:rowOff>
    </xdr:to>
    <xdr:sp macro="[1]!ProjGraphNetwork">
      <xdr:nvSpPr>
        <xdr:cNvPr id="4" name="Oval 11"/>
        <xdr:cNvSpPr>
          <a:spLocks/>
        </xdr:cNvSpPr>
      </xdr:nvSpPr>
      <xdr:spPr>
        <a:xfrm>
          <a:off x="1628775" y="6858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295275</xdr:colOff>
      <xdr:row>2</xdr:row>
      <xdr:rowOff>0</xdr:rowOff>
    </xdr:from>
    <xdr:to>
      <xdr:col>6</xdr:col>
      <xdr:colOff>0</xdr:colOff>
      <xdr:row>3</xdr:row>
      <xdr:rowOff>85725</xdr:rowOff>
    </xdr:to>
    <xdr:sp macro="[1]!ProjSchedule">
      <xdr:nvSpPr>
        <xdr:cNvPr id="5" name="Oval 12"/>
        <xdr:cNvSpPr>
          <a:spLocks/>
        </xdr:cNvSpPr>
      </xdr:nvSpPr>
      <xdr:spPr>
        <a:xfrm>
          <a:off x="3171825" y="3619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0</xdr:colOff>
      <xdr:row>3</xdr:row>
      <xdr:rowOff>85725</xdr:rowOff>
    </xdr:to>
    <xdr:sp macro="[1]!Proj_Search">
      <xdr:nvSpPr>
        <xdr:cNvPr id="1" name="Oval 1"/>
        <xdr:cNvSpPr>
          <a:spLocks/>
        </xdr:cNvSpPr>
      </xdr:nvSpPr>
      <xdr:spPr>
        <a:xfrm>
          <a:off x="1800225" y="3238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projec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Proj_Search"/>
      <definedName name="ProjActCritical"/>
      <definedName name="ProjChangeNetwork"/>
      <definedName name="ProjGraphNetwork"/>
      <definedName name="ProjSchedule"/>
      <definedName name="ProjSolveMod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2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0.75390625" style="0" customWidth="1"/>
    <col min="2" max="6" width="6.75390625" style="0" customWidth="1"/>
    <col min="7" max="7" width="25.75390625" style="0" customWidth="1"/>
    <col min="8" max="16384" width="6.75390625" style="0" customWidth="1"/>
  </cols>
  <sheetData>
    <row r="1" ht="15.75">
      <c r="A1" s="2" t="s">
        <v>0</v>
      </c>
    </row>
    <row r="3" spans="2:7" ht="12.75">
      <c r="B3" s="40" t="s">
        <v>40</v>
      </c>
      <c r="D3" s="40" t="s">
        <v>68</v>
      </c>
      <c r="G3" s="40" t="s">
        <v>70</v>
      </c>
    </row>
    <row r="5" spans="2:29" ht="12.75">
      <c r="B5" s="40" t="s">
        <v>41</v>
      </c>
      <c r="D5" s="40" t="s">
        <v>69</v>
      </c>
      <c r="AC5" s="3" t="s">
        <v>57</v>
      </c>
    </row>
    <row r="6" spans="29:42" ht="12.75">
      <c r="AC6" s="3" t="s">
        <v>58</v>
      </c>
      <c r="AP6" s="3" t="s">
        <v>64</v>
      </c>
    </row>
    <row r="7" spans="5:47" ht="12.75">
      <c r="E7" s="3" t="s">
        <v>1</v>
      </c>
      <c r="H7" t="s">
        <v>19</v>
      </c>
      <c r="Y7" s="31" t="s">
        <v>38</v>
      </c>
      <c r="Z7" s="11">
        <v>0.0010000000474974513</v>
      </c>
      <c r="AC7" s="38"/>
      <c r="AD7" s="38"/>
      <c r="AE7" s="38"/>
      <c r="AF7" s="38"/>
      <c r="AG7" s="38" t="s">
        <v>33</v>
      </c>
      <c r="AH7" s="38" t="s">
        <v>35</v>
      </c>
      <c r="AI7" s="38" t="s">
        <v>33</v>
      </c>
      <c r="AJ7" s="38" t="s">
        <v>35</v>
      </c>
      <c r="AK7" s="38" t="s">
        <v>2</v>
      </c>
      <c r="AL7" s="38"/>
      <c r="AM7" s="38"/>
      <c r="AO7" s="38"/>
      <c r="AP7" s="38"/>
      <c r="AQ7" s="38" t="s">
        <v>65</v>
      </c>
      <c r="AR7" s="38" t="s">
        <v>66</v>
      </c>
      <c r="AS7" s="38" t="s">
        <v>65</v>
      </c>
      <c r="AT7" s="38" t="s">
        <v>66</v>
      </c>
      <c r="AU7" s="38" t="s">
        <v>2</v>
      </c>
    </row>
    <row r="8" spans="5:47" ht="13.5" thickBot="1">
      <c r="E8" s="38"/>
      <c r="F8" s="38"/>
      <c r="G8" s="38"/>
      <c r="H8" s="38"/>
      <c r="I8" s="38" t="s">
        <v>21</v>
      </c>
      <c r="J8" s="38"/>
      <c r="K8" s="38"/>
      <c r="L8" s="38"/>
      <c r="M8" s="38"/>
      <c r="N8" s="38" t="s">
        <v>27</v>
      </c>
      <c r="O8" s="38"/>
      <c r="P8" s="38"/>
      <c r="Q8" s="38"/>
      <c r="R8" s="38"/>
      <c r="S8" s="1" t="s">
        <v>31</v>
      </c>
      <c r="T8" s="38"/>
      <c r="U8" s="38" t="s">
        <v>33</v>
      </c>
      <c r="V8" s="38" t="s">
        <v>35</v>
      </c>
      <c r="W8" s="38" t="s">
        <v>33</v>
      </c>
      <c r="X8" s="38" t="s">
        <v>35</v>
      </c>
      <c r="Y8" s="38"/>
      <c r="Z8" s="38" t="s">
        <v>39</v>
      </c>
      <c r="AC8" s="38" t="s">
        <v>59</v>
      </c>
      <c r="AD8" s="38" t="s">
        <v>32</v>
      </c>
      <c r="AE8" s="38" t="s">
        <v>3</v>
      </c>
      <c r="AF8" s="38" t="s">
        <v>27</v>
      </c>
      <c r="AG8" s="38" t="s">
        <v>34</v>
      </c>
      <c r="AH8" s="38" t="s">
        <v>34</v>
      </c>
      <c r="AI8" s="38" t="s">
        <v>36</v>
      </c>
      <c r="AJ8" s="38" t="s">
        <v>36</v>
      </c>
      <c r="AK8" s="38" t="s">
        <v>61</v>
      </c>
      <c r="AL8" s="38" t="s">
        <v>62</v>
      </c>
      <c r="AM8" s="38" t="s">
        <v>63</v>
      </c>
      <c r="AO8" s="38"/>
      <c r="AP8" s="38" t="s">
        <v>59</v>
      </c>
      <c r="AQ8" s="38" t="s">
        <v>59</v>
      </c>
      <c r="AR8" s="38" t="s">
        <v>59</v>
      </c>
      <c r="AS8" s="38" t="s">
        <v>3</v>
      </c>
      <c r="AT8" s="38" t="s">
        <v>3</v>
      </c>
      <c r="AU8" s="38" t="s">
        <v>67</v>
      </c>
    </row>
    <row r="9" spans="5:47" ht="15" thickBot="1" thickTop="1">
      <c r="E9" s="38" t="s">
        <v>2</v>
      </c>
      <c r="F9" s="38" t="s">
        <v>3</v>
      </c>
      <c r="G9" s="38" t="s">
        <v>18</v>
      </c>
      <c r="H9" s="38" t="s">
        <v>20</v>
      </c>
      <c r="I9" s="38" t="s">
        <v>22</v>
      </c>
      <c r="J9" s="38" t="s">
        <v>23</v>
      </c>
      <c r="K9" s="38" t="s">
        <v>24</v>
      </c>
      <c r="L9" s="38" t="s">
        <v>25</v>
      </c>
      <c r="M9" s="38" t="s">
        <v>26</v>
      </c>
      <c r="N9" s="38" t="s">
        <v>28</v>
      </c>
      <c r="O9" s="1" t="s">
        <v>29</v>
      </c>
      <c r="P9" s="38"/>
      <c r="Q9" s="38"/>
      <c r="R9" s="38"/>
      <c r="S9" s="39" t="s">
        <v>56</v>
      </c>
      <c r="T9" s="38" t="s">
        <v>32</v>
      </c>
      <c r="U9" s="38" t="s">
        <v>34</v>
      </c>
      <c r="V9" s="38" t="s">
        <v>34</v>
      </c>
      <c r="W9" s="38" t="s">
        <v>36</v>
      </c>
      <c r="X9" s="38" t="s">
        <v>36</v>
      </c>
      <c r="Y9" s="38" t="s">
        <v>37</v>
      </c>
      <c r="Z9" s="38" t="s">
        <v>2</v>
      </c>
      <c r="AC9">
        <v>1</v>
      </c>
      <c r="AD9" s="35">
        <v>1</v>
      </c>
      <c r="AE9" s="44" t="s">
        <v>34</v>
      </c>
      <c r="AF9" s="28">
        <v>0</v>
      </c>
      <c r="AG9" s="6">
        <v>0</v>
      </c>
      <c r="AH9" s="26">
        <f aca="true" t="shared" si="0" ref="AH9:AH24">AJ9-AF9</f>
        <v>0</v>
      </c>
      <c r="AI9" s="26">
        <f aca="true" t="shared" si="1" ref="AI9:AI24">AF9+AG9</f>
        <v>0</v>
      </c>
      <c r="AJ9" s="28">
        <f>MIN(AH10,AH11,AH12)</f>
        <v>0</v>
      </c>
      <c r="AK9" s="8">
        <f aca="true" t="shared" si="2" ref="AK9:AK24">IF(AJ9-AI9&lt;1/1000,1,0)</f>
        <v>1</v>
      </c>
      <c r="AL9" s="33">
        <v>0</v>
      </c>
      <c r="AM9" s="47">
        <v>0</v>
      </c>
      <c r="AP9" s="38">
        <v>1</v>
      </c>
      <c r="AQ9" s="33">
        <v>1</v>
      </c>
      <c r="AR9" s="47">
        <v>2</v>
      </c>
      <c r="AS9" s="42" t="str">
        <f>LOOKUP(Pump_From,Pump_Nodes,Pump_NodeName)</f>
        <v>Start</v>
      </c>
      <c r="AT9" s="50" t="str">
        <f>LOOKUP(Pump_To,Pump_Nodes,Pump_NodeName)</f>
        <v>A</v>
      </c>
      <c r="AU9" s="62">
        <v>1</v>
      </c>
    </row>
    <row r="10" spans="1:47" ht="13.5" thickTop="1">
      <c r="A10" s="3" t="s">
        <v>71</v>
      </c>
      <c r="D10">
        <v>1</v>
      </c>
      <c r="E10" s="8">
        <f aca="true" t="shared" si="3" ref="E10:E23">INDEX(Pump_NodeCritical,Pump_ActSort)</f>
        <v>1</v>
      </c>
      <c r="F10" s="12" t="s">
        <v>4</v>
      </c>
      <c r="G10" s="18" t="s">
        <v>42</v>
      </c>
      <c r="H10" s="16">
        <v>9</v>
      </c>
      <c r="I10" s="21">
        <v>11</v>
      </c>
      <c r="J10" s="23">
        <v>19</v>
      </c>
      <c r="K10" s="6">
        <f aca="true" t="shared" si="4" ref="K10:K23">(Pump_ActMin+4*Pump_ActMost+Pump_ActMax)/6</f>
        <v>12</v>
      </c>
      <c r="L10" s="26">
        <f aca="true" t="shared" si="5" ref="L10:L23">(Pump_ActMax-Pump_ActMin)/6</f>
        <v>1.6666666666666667</v>
      </c>
      <c r="M10" s="28">
        <f aca="true" t="shared" si="6" ref="M10:M23">(Pump_ActSD)^2</f>
        <v>2.777777777777778</v>
      </c>
      <c r="N10" s="8">
        <f aca="true" t="shared" si="7" ref="N10:N23">Pump_ActMean</f>
        <v>12</v>
      </c>
      <c r="O10" s="53"/>
      <c r="P10" s="54"/>
      <c r="Q10" s="54"/>
      <c r="R10" s="55"/>
      <c r="S10" s="18">
        <v>4</v>
      </c>
      <c r="T10" s="35">
        <v>2</v>
      </c>
      <c r="U10" s="6">
        <f aca="true" t="shared" si="8" ref="U10:U23">INDEX(Pump_EarlyStart,Pump_ActSort)</f>
        <v>0</v>
      </c>
      <c r="V10" s="26">
        <f aca="true" t="shared" si="9" ref="V10:V23">Pump_ActLF-Pump_ActTime</f>
        <v>0</v>
      </c>
      <c r="W10" s="26">
        <f aca="true" t="shared" si="10" ref="W10:W23">Pump_ActES+Pump_ActTime</f>
        <v>12</v>
      </c>
      <c r="X10" s="26">
        <f aca="true" t="shared" si="11" ref="X10:X23">INDEX(Pump_LateFinish,Pump_ActSort)</f>
        <v>12</v>
      </c>
      <c r="Y10" s="28">
        <f aca="true" t="shared" si="12" ref="Y10:Y23">Pump_ActLS-Pump_ActES</f>
        <v>0</v>
      </c>
      <c r="Z10" s="8">
        <f aca="true" t="shared" si="13" ref="Z10:Z23">IF(Pump_ActLS-Pump_ActES&lt;Pump_ActDiff,1,0)</f>
        <v>1</v>
      </c>
      <c r="AC10">
        <v>2</v>
      </c>
      <c r="AD10" s="36">
        <v>2</v>
      </c>
      <c r="AE10" s="45" t="str">
        <f aca="true" t="shared" si="14" ref="AE10:AE23">INDEX(Pump_ActName,AD10-1)</f>
        <v>A</v>
      </c>
      <c r="AF10" s="29">
        <f aca="true" t="shared" si="15" ref="AF10:AF23">INDEX(Pump_ActTime,AD10-1)</f>
        <v>12</v>
      </c>
      <c r="AG10" s="5">
        <f>AI9</f>
        <v>0</v>
      </c>
      <c r="AH10" s="4">
        <f t="shared" si="0"/>
        <v>0</v>
      </c>
      <c r="AI10" s="4">
        <f t="shared" si="1"/>
        <v>12</v>
      </c>
      <c r="AJ10" s="29">
        <f>AH13</f>
        <v>12</v>
      </c>
      <c r="AK10" s="9">
        <f t="shared" si="2"/>
        <v>1</v>
      </c>
      <c r="AL10" s="32">
        <v>1</v>
      </c>
      <c r="AM10" s="48">
        <v>0</v>
      </c>
      <c r="AP10" s="38">
        <v>2</v>
      </c>
      <c r="AQ10" s="32">
        <v>1</v>
      </c>
      <c r="AR10" s="48">
        <v>3</v>
      </c>
      <c r="AS10" s="41" t="str">
        <f>LOOKUP(Pump_From,Pump_Nodes,Pump_NodeName)</f>
        <v>Start</v>
      </c>
      <c r="AT10" s="51" t="str">
        <f>LOOKUP(Pump_To,Pump_Nodes,Pump_NodeName)</f>
        <v>B</v>
      </c>
      <c r="AU10" s="63">
        <v>0</v>
      </c>
    </row>
    <row r="11" spans="1:47" ht="12.75">
      <c r="A11" s="31" t="s">
        <v>72</v>
      </c>
      <c r="B11" s="4">
        <f>SUMPRODUCT(Pump_ActMean,Pump_ActCrit)</f>
        <v>57</v>
      </c>
      <c r="C11" t="s">
        <v>28</v>
      </c>
      <c r="D11">
        <v>2</v>
      </c>
      <c r="E11" s="9">
        <f t="shared" si="3"/>
        <v>0</v>
      </c>
      <c r="F11" s="13" t="s">
        <v>5</v>
      </c>
      <c r="G11" s="19" t="s">
        <v>43</v>
      </c>
      <c r="H11" s="15">
        <v>0.25</v>
      </c>
      <c r="I11" s="11">
        <v>0.25</v>
      </c>
      <c r="J11" s="24">
        <v>0.25</v>
      </c>
      <c r="K11" s="5">
        <f t="shared" si="4"/>
        <v>0.25</v>
      </c>
      <c r="L11" s="4">
        <f t="shared" si="5"/>
        <v>0</v>
      </c>
      <c r="M11" s="29">
        <f t="shared" si="6"/>
        <v>0</v>
      </c>
      <c r="N11" s="9">
        <f t="shared" si="7"/>
        <v>0.25</v>
      </c>
      <c r="O11" s="56"/>
      <c r="P11" s="57"/>
      <c r="Q11" s="57"/>
      <c r="R11" s="58"/>
      <c r="S11" s="19">
        <v>1</v>
      </c>
      <c r="T11" s="36">
        <v>3</v>
      </c>
      <c r="U11" s="5">
        <f t="shared" si="8"/>
        <v>0</v>
      </c>
      <c r="V11" s="4">
        <f t="shared" si="9"/>
        <v>27.75</v>
      </c>
      <c r="W11" s="4">
        <f t="shared" si="10"/>
        <v>0.25</v>
      </c>
      <c r="X11" s="4">
        <f t="shared" si="11"/>
        <v>28</v>
      </c>
      <c r="Y11" s="29">
        <f t="shared" si="12"/>
        <v>27.75</v>
      </c>
      <c r="Z11" s="9">
        <f t="shared" si="13"/>
        <v>0</v>
      </c>
      <c r="AC11">
        <v>3</v>
      </c>
      <c r="AD11" s="36">
        <v>3</v>
      </c>
      <c r="AE11" s="45" t="str">
        <f t="shared" si="14"/>
        <v>B</v>
      </c>
      <c r="AF11" s="29">
        <f t="shared" si="15"/>
        <v>0.25</v>
      </c>
      <c r="AG11" s="5">
        <f>AI9</f>
        <v>0</v>
      </c>
      <c r="AH11" s="4">
        <f t="shared" si="0"/>
        <v>27.75</v>
      </c>
      <c r="AI11" s="4">
        <f t="shared" si="1"/>
        <v>0.25</v>
      </c>
      <c r="AJ11" s="29">
        <f>AH14</f>
        <v>28</v>
      </c>
      <c r="AK11" s="9">
        <f t="shared" si="2"/>
        <v>0</v>
      </c>
      <c r="AL11" s="32">
        <v>1</v>
      </c>
      <c r="AM11" s="48">
        <v>1</v>
      </c>
      <c r="AP11" s="38">
        <v>3</v>
      </c>
      <c r="AQ11" s="32">
        <v>1</v>
      </c>
      <c r="AR11" s="48">
        <v>4</v>
      </c>
      <c r="AS11" s="41" t="str">
        <f>LOOKUP(Pump_From,Pump_Nodes,Pump_NodeName)</f>
        <v>Start</v>
      </c>
      <c r="AT11" s="51" t="str">
        <f>LOOKUP(Pump_To,Pump_Nodes,Pump_NodeName)</f>
        <v>C</v>
      </c>
      <c r="AU11" s="63">
        <v>0</v>
      </c>
    </row>
    <row r="12" spans="1:47" ht="13.5" thickBot="1">
      <c r="A12" s="31" t="s">
        <v>73</v>
      </c>
      <c r="B12" s="4">
        <f>SUMPRODUCT(Pump_ActVar,Pump_ActCrit)</f>
        <v>12.5</v>
      </c>
      <c r="D12">
        <v>3</v>
      </c>
      <c r="E12" s="9">
        <f t="shared" si="3"/>
        <v>0</v>
      </c>
      <c r="F12" s="13" t="s">
        <v>6</v>
      </c>
      <c r="G12" s="19" t="s">
        <v>44</v>
      </c>
      <c r="H12" s="15">
        <v>20</v>
      </c>
      <c r="I12" s="11">
        <v>30</v>
      </c>
      <c r="J12" s="24">
        <v>40</v>
      </c>
      <c r="K12" s="5">
        <f t="shared" si="4"/>
        <v>30</v>
      </c>
      <c r="L12" s="4">
        <f t="shared" si="5"/>
        <v>3.3333333333333335</v>
      </c>
      <c r="M12" s="29">
        <f t="shared" si="6"/>
        <v>11.111111111111112</v>
      </c>
      <c r="N12" s="9">
        <f t="shared" si="7"/>
        <v>30</v>
      </c>
      <c r="O12" s="56"/>
      <c r="P12" s="57"/>
      <c r="Q12" s="57"/>
      <c r="R12" s="58"/>
      <c r="S12" s="19">
        <v>6</v>
      </c>
      <c r="T12" s="36">
        <v>4</v>
      </c>
      <c r="U12" s="5">
        <f t="shared" si="8"/>
        <v>0</v>
      </c>
      <c r="V12" s="4">
        <f t="shared" si="9"/>
        <v>9.666666666666664</v>
      </c>
      <c r="W12" s="4">
        <f t="shared" si="10"/>
        <v>30</v>
      </c>
      <c r="X12" s="4">
        <f t="shared" si="11"/>
        <v>39.666666666666664</v>
      </c>
      <c r="Y12" s="29">
        <f t="shared" si="12"/>
        <v>9.666666666666664</v>
      </c>
      <c r="Z12" s="9">
        <f t="shared" si="13"/>
        <v>0</v>
      </c>
      <c r="AC12">
        <v>4</v>
      </c>
      <c r="AD12" s="36">
        <v>4</v>
      </c>
      <c r="AE12" s="45" t="str">
        <f t="shared" si="14"/>
        <v>C</v>
      </c>
      <c r="AF12" s="29">
        <f t="shared" si="15"/>
        <v>30</v>
      </c>
      <c r="AG12" s="5">
        <f>AI9</f>
        <v>0</v>
      </c>
      <c r="AH12" s="4">
        <f t="shared" si="0"/>
        <v>9.666666666666664</v>
      </c>
      <c r="AI12" s="4">
        <f t="shared" si="1"/>
        <v>30</v>
      </c>
      <c r="AJ12" s="29">
        <f>MIN(AH15,AH16)</f>
        <v>39.666666666666664</v>
      </c>
      <c r="AK12" s="9">
        <f t="shared" si="2"/>
        <v>0</v>
      </c>
      <c r="AL12" s="32">
        <v>1</v>
      </c>
      <c r="AM12" s="48">
        <v>2</v>
      </c>
      <c r="AP12" s="38">
        <v>4</v>
      </c>
      <c r="AQ12" s="32">
        <v>2</v>
      </c>
      <c r="AR12" s="48">
        <v>5</v>
      </c>
      <c r="AS12" s="41" t="str">
        <f>LOOKUP(Pump_From,Pump_Nodes,Pump_NodeName)</f>
        <v>A</v>
      </c>
      <c r="AT12" s="51" t="str">
        <f>LOOKUP(Pump_To,Pump_Nodes,Pump_NodeName)</f>
        <v>D</v>
      </c>
      <c r="AU12" s="63">
        <v>1</v>
      </c>
    </row>
    <row r="13" spans="1:47" ht="15" thickBot="1" thickTop="1">
      <c r="A13" s="31" t="s">
        <v>74</v>
      </c>
      <c r="B13" s="4">
        <f>SQRT(Pump_ProjVar)</f>
        <v>3.5355339059327378</v>
      </c>
      <c r="C13" t="s">
        <v>28</v>
      </c>
      <c r="D13">
        <v>4</v>
      </c>
      <c r="E13" s="9">
        <f t="shared" si="3"/>
        <v>1</v>
      </c>
      <c r="F13" s="13" t="s">
        <v>7</v>
      </c>
      <c r="G13" s="19" t="s">
        <v>45</v>
      </c>
      <c r="H13" s="15">
        <v>24</v>
      </c>
      <c r="I13" s="11">
        <v>24</v>
      </c>
      <c r="J13" s="24">
        <v>24</v>
      </c>
      <c r="K13" s="5">
        <f t="shared" si="4"/>
        <v>24</v>
      </c>
      <c r="L13" s="4">
        <f t="shared" si="5"/>
        <v>0</v>
      </c>
      <c r="M13" s="29">
        <f t="shared" si="6"/>
        <v>0</v>
      </c>
      <c r="N13" s="9">
        <f t="shared" si="7"/>
        <v>24</v>
      </c>
      <c r="O13" s="65" t="s">
        <v>4</v>
      </c>
      <c r="P13" s="57"/>
      <c r="Q13" s="57"/>
      <c r="R13" s="58"/>
      <c r="S13" s="19">
        <v>0</v>
      </c>
      <c r="T13" s="36">
        <v>5</v>
      </c>
      <c r="U13" s="5">
        <f t="shared" si="8"/>
        <v>12</v>
      </c>
      <c r="V13" s="4">
        <f t="shared" si="9"/>
        <v>12</v>
      </c>
      <c r="W13" s="4">
        <f t="shared" si="10"/>
        <v>36</v>
      </c>
      <c r="X13" s="4">
        <f t="shared" si="11"/>
        <v>36</v>
      </c>
      <c r="Y13" s="29">
        <f t="shared" si="12"/>
        <v>0</v>
      </c>
      <c r="Z13" s="9">
        <f t="shared" si="13"/>
        <v>1</v>
      </c>
      <c r="AC13">
        <v>5</v>
      </c>
      <c r="AD13" s="36">
        <v>5</v>
      </c>
      <c r="AE13" s="45" t="str">
        <f t="shared" si="14"/>
        <v>D</v>
      </c>
      <c r="AF13" s="29">
        <f t="shared" si="15"/>
        <v>24</v>
      </c>
      <c r="AG13" s="5">
        <f>AI10</f>
        <v>12</v>
      </c>
      <c r="AH13" s="4">
        <f t="shared" si="0"/>
        <v>12</v>
      </c>
      <c r="AI13" s="4">
        <f t="shared" si="1"/>
        <v>36</v>
      </c>
      <c r="AJ13" s="29">
        <f>AH17</f>
        <v>36</v>
      </c>
      <c r="AK13" s="9">
        <f t="shared" si="2"/>
        <v>1</v>
      </c>
      <c r="AL13" s="32">
        <v>2</v>
      </c>
      <c r="AM13" s="48">
        <v>0</v>
      </c>
      <c r="AP13" s="38">
        <v>5</v>
      </c>
      <c r="AQ13" s="32">
        <v>3</v>
      </c>
      <c r="AR13" s="48">
        <v>6</v>
      </c>
      <c r="AS13" s="41" t="str">
        <f>LOOKUP(Pump_From,Pump_Nodes,Pump_NodeName)</f>
        <v>B</v>
      </c>
      <c r="AT13" s="51" t="str">
        <f>LOOKUP(Pump_To,Pump_Nodes,Pump_NodeName)</f>
        <v>E</v>
      </c>
      <c r="AU13" s="63">
        <v>0</v>
      </c>
    </row>
    <row r="14" spans="1:47" ht="13.5" thickTop="1">
      <c r="A14" s="31"/>
      <c r="D14">
        <v>5</v>
      </c>
      <c r="E14" s="9">
        <f t="shared" si="3"/>
        <v>0</v>
      </c>
      <c r="F14" s="13" t="s">
        <v>8</v>
      </c>
      <c r="G14" s="19" t="s">
        <v>46</v>
      </c>
      <c r="H14" s="15">
        <v>3</v>
      </c>
      <c r="I14" s="11">
        <v>9</v>
      </c>
      <c r="J14" s="24">
        <v>9</v>
      </c>
      <c r="K14" s="5">
        <f t="shared" si="4"/>
        <v>8</v>
      </c>
      <c r="L14" s="4">
        <f t="shared" si="5"/>
        <v>1</v>
      </c>
      <c r="M14" s="29">
        <f t="shared" si="6"/>
        <v>1</v>
      </c>
      <c r="N14" s="9">
        <f t="shared" si="7"/>
        <v>8</v>
      </c>
      <c r="O14" s="56" t="s">
        <v>5</v>
      </c>
      <c r="P14" s="57"/>
      <c r="Q14" s="57"/>
      <c r="R14" s="58"/>
      <c r="S14" s="19">
        <v>0</v>
      </c>
      <c r="T14" s="36">
        <v>6</v>
      </c>
      <c r="U14" s="5">
        <f t="shared" si="8"/>
        <v>0.25</v>
      </c>
      <c r="V14" s="4">
        <f t="shared" si="9"/>
        <v>28</v>
      </c>
      <c r="W14" s="4">
        <f t="shared" si="10"/>
        <v>8.25</v>
      </c>
      <c r="X14" s="4">
        <f t="shared" si="11"/>
        <v>36</v>
      </c>
      <c r="Y14" s="29">
        <f t="shared" si="12"/>
        <v>27.75</v>
      </c>
      <c r="Z14" s="9">
        <f t="shared" si="13"/>
        <v>0</v>
      </c>
      <c r="AC14">
        <v>6</v>
      </c>
      <c r="AD14" s="36">
        <v>6</v>
      </c>
      <c r="AE14" s="45" t="str">
        <f t="shared" si="14"/>
        <v>E</v>
      </c>
      <c r="AF14" s="29">
        <f t="shared" si="15"/>
        <v>8</v>
      </c>
      <c r="AG14" s="5">
        <f>AI11</f>
        <v>0.25</v>
      </c>
      <c r="AH14" s="4">
        <f t="shared" si="0"/>
        <v>28</v>
      </c>
      <c r="AI14" s="4">
        <f t="shared" si="1"/>
        <v>8.25</v>
      </c>
      <c r="AJ14" s="29">
        <f>AH17</f>
        <v>36</v>
      </c>
      <c r="AK14" s="9">
        <f t="shared" si="2"/>
        <v>0</v>
      </c>
      <c r="AL14" s="32">
        <v>2</v>
      </c>
      <c r="AM14" s="48">
        <v>1</v>
      </c>
      <c r="AP14" s="38">
        <v>6</v>
      </c>
      <c r="AQ14" s="32">
        <v>4</v>
      </c>
      <c r="AR14" s="48">
        <v>7</v>
      </c>
      <c r="AS14" s="41" t="str">
        <f>LOOKUP(Pump_From,Pump_Nodes,Pump_NodeName)</f>
        <v>C</v>
      </c>
      <c r="AT14" s="51" t="str">
        <f>LOOKUP(Pump_To,Pump_Nodes,Pump_NodeName)</f>
        <v>F</v>
      </c>
      <c r="AU14" s="63">
        <v>0</v>
      </c>
    </row>
    <row r="15" spans="1:47" ht="12.75">
      <c r="A15" s="31" t="s">
        <v>75</v>
      </c>
      <c r="B15" s="11">
        <v>59</v>
      </c>
      <c r="C15" t="s">
        <v>28</v>
      </c>
      <c r="D15">
        <v>6</v>
      </c>
      <c r="E15" s="9">
        <f t="shared" si="3"/>
        <v>0</v>
      </c>
      <c r="F15" s="13" t="s">
        <v>9</v>
      </c>
      <c r="G15" s="19" t="s">
        <v>47</v>
      </c>
      <c r="H15" s="15">
        <v>10</v>
      </c>
      <c r="I15" s="11">
        <v>11</v>
      </c>
      <c r="J15" s="24">
        <v>14</v>
      </c>
      <c r="K15" s="5">
        <f t="shared" si="4"/>
        <v>11.333333333333334</v>
      </c>
      <c r="L15" s="4">
        <f t="shared" si="5"/>
        <v>0.6666666666666666</v>
      </c>
      <c r="M15" s="29">
        <f t="shared" si="6"/>
        <v>0.4444444444444444</v>
      </c>
      <c r="N15" s="9">
        <f t="shared" si="7"/>
        <v>11.333333333333334</v>
      </c>
      <c r="O15" s="56" t="s">
        <v>6</v>
      </c>
      <c r="P15" s="57"/>
      <c r="Q15" s="57"/>
      <c r="R15" s="58"/>
      <c r="S15" s="19">
        <v>6</v>
      </c>
      <c r="T15" s="36">
        <v>7</v>
      </c>
      <c r="U15" s="5">
        <f t="shared" si="8"/>
        <v>30</v>
      </c>
      <c r="V15" s="4">
        <f t="shared" si="9"/>
        <v>39.666666666666664</v>
      </c>
      <c r="W15" s="4">
        <f t="shared" si="10"/>
        <v>41.333333333333336</v>
      </c>
      <c r="X15" s="4">
        <f t="shared" si="11"/>
        <v>51</v>
      </c>
      <c r="Y15" s="29">
        <f t="shared" si="12"/>
        <v>9.666666666666664</v>
      </c>
      <c r="Z15" s="9">
        <f t="shared" si="13"/>
        <v>0</v>
      </c>
      <c r="AC15">
        <v>7</v>
      </c>
      <c r="AD15" s="36">
        <v>7</v>
      </c>
      <c r="AE15" s="45" t="str">
        <f t="shared" si="14"/>
        <v>F</v>
      </c>
      <c r="AF15" s="29">
        <f t="shared" si="15"/>
        <v>11.333333333333334</v>
      </c>
      <c r="AG15" s="5">
        <f>AI12</f>
        <v>30</v>
      </c>
      <c r="AH15" s="4">
        <f t="shared" si="0"/>
        <v>39.666666666666664</v>
      </c>
      <c r="AI15" s="4">
        <f t="shared" si="1"/>
        <v>41.333333333333336</v>
      </c>
      <c r="AJ15" s="29">
        <f>AH21</f>
        <v>51</v>
      </c>
      <c r="AK15" s="9">
        <f t="shared" si="2"/>
        <v>0</v>
      </c>
      <c r="AL15" s="32">
        <v>2</v>
      </c>
      <c r="AM15" s="48">
        <v>2</v>
      </c>
      <c r="AP15" s="38">
        <v>7</v>
      </c>
      <c r="AQ15" s="32">
        <v>4</v>
      </c>
      <c r="AR15" s="48">
        <v>8</v>
      </c>
      <c r="AS15" s="41" t="str">
        <f>LOOKUP(Pump_From,Pump_Nodes,Pump_NodeName)</f>
        <v>C</v>
      </c>
      <c r="AT15" s="51" t="str">
        <f>LOOKUP(Pump_To,Pump_Nodes,Pump_NodeName)</f>
        <v>G</v>
      </c>
      <c r="AU15" s="63">
        <v>0</v>
      </c>
    </row>
    <row r="16" spans="1:47" ht="13.5" thickBot="1">
      <c r="A16" s="31" t="s">
        <v>76</v>
      </c>
      <c r="B16" s="4">
        <f>NORMDIST(Pump_ProjDue,Pump_ProjEF,Pump_ProjSD,TRUE)</f>
        <v>0.7141962165099738</v>
      </c>
      <c r="D16">
        <v>7</v>
      </c>
      <c r="E16" s="9">
        <f t="shared" si="3"/>
        <v>0</v>
      </c>
      <c r="F16" s="13" t="s">
        <v>10</v>
      </c>
      <c r="G16" s="19" t="s">
        <v>48</v>
      </c>
      <c r="H16" s="15">
        <v>8</v>
      </c>
      <c r="I16" s="11">
        <v>10</v>
      </c>
      <c r="J16" s="24">
        <v>12</v>
      </c>
      <c r="K16" s="5">
        <f t="shared" si="4"/>
        <v>10</v>
      </c>
      <c r="L16" s="4">
        <f t="shared" si="5"/>
        <v>0.6666666666666666</v>
      </c>
      <c r="M16" s="29">
        <f t="shared" si="6"/>
        <v>0.4444444444444444</v>
      </c>
      <c r="N16" s="9">
        <f t="shared" si="7"/>
        <v>10</v>
      </c>
      <c r="O16" s="56" t="s">
        <v>6</v>
      </c>
      <c r="P16" s="57"/>
      <c r="Q16" s="57"/>
      <c r="R16" s="58"/>
      <c r="S16" s="19">
        <v>3</v>
      </c>
      <c r="T16" s="36">
        <v>8</v>
      </c>
      <c r="U16" s="5">
        <f t="shared" si="8"/>
        <v>30</v>
      </c>
      <c r="V16" s="4">
        <f t="shared" si="9"/>
        <v>41</v>
      </c>
      <c r="W16" s="4">
        <f t="shared" si="10"/>
        <v>40</v>
      </c>
      <c r="X16" s="4">
        <f t="shared" si="11"/>
        <v>51</v>
      </c>
      <c r="Y16" s="29">
        <f t="shared" si="12"/>
        <v>11</v>
      </c>
      <c r="Z16" s="9">
        <f t="shared" si="13"/>
        <v>0</v>
      </c>
      <c r="AC16">
        <v>8</v>
      </c>
      <c r="AD16" s="36">
        <v>8</v>
      </c>
      <c r="AE16" s="45" t="str">
        <f t="shared" si="14"/>
        <v>G</v>
      </c>
      <c r="AF16" s="29">
        <f t="shared" si="15"/>
        <v>10</v>
      </c>
      <c r="AG16" s="5">
        <f>AI12</f>
        <v>30</v>
      </c>
      <c r="AH16" s="4">
        <f t="shared" si="0"/>
        <v>41</v>
      </c>
      <c r="AI16" s="4">
        <f t="shared" si="1"/>
        <v>40</v>
      </c>
      <c r="AJ16" s="29">
        <f>AH20</f>
        <v>51</v>
      </c>
      <c r="AK16" s="9">
        <f t="shared" si="2"/>
        <v>0</v>
      </c>
      <c r="AL16" s="32">
        <v>2</v>
      </c>
      <c r="AM16" s="48">
        <v>3</v>
      </c>
      <c r="AP16" s="38">
        <v>8</v>
      </c>
      <c r="AQ16" s="32">
        <v>5</v>
      </c>
      <c r="AR16" s="48">
        <v>9</v>
      </c>
      <c r="AS16" s="41" t="str">
        <f>LOOKUP(Pump_From,Pump_Nodes,Pump_NodeName)</f>
        <v>D</v>
      </c>
      <c r="AT16" s="51" t="str">
        <f>LOOKUP(Pump_To,Pump_Nodes,Pump_NodeName)</f>
        <v>H</v>
      </c>
      <c r="AU16" s="63">
        <v>1</v>
      </c>
    </row>
    <row r="17" spans="4:47" ht="15" thickBot="1" thickTop="1">
      <c r="D17">
        <v>8</v>
      </c>
      <c r="E17" s="9">
        <f t="shared" si="3"/>
        <v>1</v>
      </c>
      <c r="F17" s="13" t="s">
        <v>11</v>
      </c>
      <c r="G17" s="19" t="s">
        <v>49</v>
      </c>
      <c r="H17" s="15">
        <v>4</v>
      </c>
      <c r="I17" s="11">
        <v>5</v>
      </c>
      <c r="J17" s="24">
        <v>12</v>
      </c>
      <c r="K17" s="5">
        <f t="shared" si="4"/>
        <v>6</v>
      </c>
      <c r="L17" s="4">
        <f t="shared" si="5"/>
        <v>1.3333333333333333</v>
      </c>
      <c r="M17" s="29">
        <f t="shared" si="6"/>
        <v>1.7777777777777777</v>
      </c>
      <c r="N17" s="9">
        <f t="shared" si="7"/>
        <v>6</v>
      </c>
      <c r="O17" s="65" t="s">
        <v>7</v>
      </c>
      <c r="P17" s="57" t="s">
        <v>8</v>
      </c>
      <c r="Q17" s="57"/>
      <c r="R17" s="58"/>
      <c r="S17" s="19">
        <v>3</v>
      </c>
      <c r="T17" s="36">
        <v>9</v>
      </c>
      <c r="U17" s="5">
        <f t="shared" si="8"/>
        <v>36</v>
      </c>
      <c r="V17" s="4">
        <f t="shared" si="9"/>
        <v>36</v>
      </c>
      <c r="W17" s="4">
        <f t="shared" si="10"/>
        <v>42</v>
      </c>
      <c r="X17" s="4">
        <f t="shared" si="11"/>
        <v>42</v>
      </c>
      <c r="Y17" s="29">
        <f t="shared" si="12"/>
        <v>0</v>
      </c>
      <c r="Z17" s="9">
        <f t="shared" si="13"/>
        <v>1</v>
      </c>
      <c r="AC17">
        <v>9</v>
      </c>
      <c r="AD17" s="36">
        <v>9</v>
      </c>
      <c r="AE17" s="45" t="str">
        <f t="shared" si="14"/>
        <v>H</v>
      </c>
      <c r="AF17" s="29">
        <f t="shared" si="15"/>
        <v>6</v>
      </c>
      <c r="AG17" s="5">
        <f>MAX(AI13,AI14)</f>
        <v>36</v>
      </c>
      <c r="AH17" s="4">
        <f t="shared" si="0"/>
        <v>36</v>
      </c>
      <c r="AI17" s="4">
        <f t="shared" si="1"/>
        <v>42</v>
      </c>
      <c r="AJ17" s="29">
        <f>MIN(AH18,AH19)</f>
        <v>42</v>
      </c>
      <c r="AK17" s="9">
        <f t="shared" si="2"/>
        <v>1</v>
      </c>
      <c r="AL17" s="32">
        <v>3</v>
      </c>
      <c r="AM17" s="48">
        <v>0</v>
      </c>
      <c r="AP17" s="38">
        <v>9</v>
      </c>
      <c r="AQ17" s="32">
        <v>6</v>
      </c>
      <c r="AR17" s="48">
        <v>9</v>
      </c>
      <c r="AS17" s="41" t="str">
        <f>LOOKUP(Pump_From,Pump_Nodes,Pump_NodeName)</f>
        <v>E</v>
      </c>
      <c r="AT17" s="51" t="str">
        <f>LOOKUP(Pump_To,Pump_Nodes,Pump_NodeName)</f>
        <v>H</v>
      </c>
      <c r="AU17" s="63">
        <v>0</v>
      </c>
    </row>
    <row r="18" spans="4:47" ht="15" thickBot="1" thickTop="1">
      <c r="D18">
        <v>9</v>
      </c>
      <c r="E18" s="9">
        <f t="shared" si="3"/>
        <v>0</v>
      </c>
      <c r="F18" s="13" t="s">
        <v>12</v>
      </c>
      <c r="G18" s="19" t="s">
        <v>50</v>
      </c>
      <c r="H18" s="15">
        <v>3</v>
      </c>
      <c r="I18" s="11">
        <v>4</v>
      </c>
      <c r="J18" s="24">
        <v>5</v>
      </c>
      <c r="K18" s="5">
        <f t="shared" si="4"/>
        <v>4</v>
      </c>
      <c r="L18" s="4">
        <f t="shared" si="5"/>
        <v>0.3333333333333333</v>
      </c>
      <c r="M18" s="29">
        <f t="shared" si="6"/>
        <v>0.1111111111111111</v>
      </c>
      <c r="N18" s="9">
        <f t="shared" si="7"/>
        <v>4</v>
      </c>
      <c r="O18" s="56" t="s">
        <v>11</v>
      </c>
      <c r="P18" s="57"/>
      <c r="Q18" s="57"/>
      <c r="R18" s="58"/>
      <c r="S18" s="19">
        <v>2</v>
      </c>
      <c r="T18" s="36">
        <v>10</v>
      </c>
      <c r="U18" s="5">
        <f t="shared" si="8"/>
        <v>42</v>
      </c>
      <c r="V18" s="4">
        <f t="shared" si="9"/>
        <v>47</v>
      </c>
      <c r="W18" s="4">
        <f t="shared" si="10"/>
        <v>46</v>
      </c>
      <c r="X18" s="4">
        <f t="shared" si="11"/>
        <v>51</v>
      </c>
      <c r="Y18" s="29">
        <f t="shared" si="12"/>
        <v>5</v>
      </c>
      <c r="Z18" s="9">
        <f t="shared" si="13"/>
        <v>0</v>
      </c>
      <c r="AC18">
        <v>10</v>
      </c>
      <c r="AD18" s="36">
        <v>10</v>
      </c>
      <c r="AE18" s="45" t="str">
        <f t="shared" si="14"/>
        <v>I</v>
      </c>
      <c r="AF18" s="29">
        <f t="shared" si="15"/>
        <v>4</v>
      </c>
      <c r="AG18" s="5">
        <f>AI17</f>
        <v>42</v>
      </c>
      <c r="AH18" s="4">
        <f t="shared" si="0"/>
        <v>47</v>
      </c>
      <c r="AI18" s="4">
        <f t="shared" si="1"/>
        <v>46</v>
      </c>
      <c r="AJ18" s="29">
        <f>AH20</f>
        <v>51</v>
      </c>
      <c r="AK18" s="9">
        <f t="shared" si="2"/>
        <v>0</v>
      </c>
      <c r="AL18" s="32">
        <v>4</v>
      </c>
      <c r="AM18" s="48">
        <v>0</v>
      </c>
      <c r="AP18" s="38">
        <v>10</v>
      </c>
      <c r="AQ18" s="32">
        <v>7</v>
      </c>
      <c r="AR18" s="48">
        <v>13</v>
      </c>
      <c r="AS18" s="41" t="str">
        <f>LOOKUP(Pump_From,Pump_Nodes,Pump_NodeName)</f>
        <v>F</v>
      </c>
      <c r="AT18" s="51" t="str">
        <f>LOOKUP(Pump_To,Pump_Nodes,Pump_NodeName)</f>
        <v>L</v>
      </c>
      <c r="AU18" s="63">
        <v>0</v>
      </c>
    </row>
    <row r="19" spans="4:47" ht="15" thickBot="1" thickTop="1">
      <c r="D19">
        <v>10</v>
      </c>
      <c r="E19" s="9">
        <f t="shared" si="3"/>
        <v>1</v>
      </c>
      <c r="F19" s="13" t="s">
        <v>13</v>
      </c>
      <c r="G19" s="19" t="s">
        <v>51</v>
      </c>
      <c r="H19" s="15">
        <v>4</v>
      </c>
      <c r="I19" s="11">
        <v>8</v>
      </c>
      <c r="J19" s="24">
        <v>18</v>
      </c>
      <c r="K19" s="5">
        <f t="shared" si="4"/>
        <v>9</v>
      </c>
      <c r="L19" s="4">
        <f t="shared" si="5"/>
        <v>2.3333333333333335</v>
      </c>
      <c r="M19" s="29">
        <f t="shared" si="6"/>
        <v>5.4444444444444455</v>
      </c>
      <c r="N19" s="9">
        <f t="shared" si="7"/>
        <v>9</v>
      </c>
      <c r="O19" s="65" t="s">
        <v>11</v>
      </c>
      <c r="P19" s="57"/>
      <c r="Q19" s="57"/>
      <c r="R19" s="58"/>
      <c r="S19" s="19">
        <v>3</v>
      </c>
      <c r="T19" s="36">
        <v>11</v>
      </c>
      <c r="U19" s="5">
        <f t="shared" si="8"/>
        <v>42</v>
      </c>
      <c r="V19" s="4">
        <f t="shared" si="9"/>
        <v>42</v>
      </c>
      <c r="W19" s="4">
        <f t="shared" si="10"/>
        <v>51</v>
      </c>
      <c r="X19" s="4">
        <f t="shared" si="11"/>
        <v>51</v>
      </c>
      <c r="Y19" s="29">
        <f t="shared" si="12"/>
        <v>0</v>
      </c>
      <c r="Z19" s="9">
        <f t="shared" si="13"/>
        <v>1</v>
      </c>
      <c r="AC19">
        <v>11</v>
      </c>
      <c r="AD19" s="36">
        <v>11</v>
      </c>
      <c r="AE19" s="45" t="str">
        <f t="shared" si="14"/>
        <v>J</v>
      </c>
      <c r="AF19" s="29">
        <f t="shared" si="15"/>
        <v>9</v>
      </c>
      <c r="AG19" s="5">
        <f>AI17</f>
        <v>42</v>
      </c>
      <c r="AH19" s="4">
        <f t="shared" si="0"/>
        <v>42</v>
      </c>
      <c r="AI19" s="4">
        <f t="shared" si="1"/>
        <v>51</v>
      </c>
      <c r="AJ19" s="29">
        <f>AH21</f>
        <v>51</v>
      </c>
      <c r="AK19" s="9">
        <f t="shared" si="2"/>
        <v>1</v>
      </c>
      <c r="AL19" s="32">
        <v>4</v>
      </c>
      <c r="AM19" s="48">
        <v>1</v>
      </c>
      <c r="AP19" s="38">
        <v>11</v>
      </c>
      <c r="AQ19" s="32">
        <v>8</v>
      </c>
      <c r="AR19" s="48">
        <v>12</v>
      </c>
      <c r="AS19" s="41" t="str">
        <f>LOOKUP(Pump_From,Pump_Nodes,Pump_NodeName)</f>
        <v>G</v>
      </c>
      <c r="AT19" s="51" t="str">
        <f>LOOKUP(Pump_To,Pump_Nodes,Pump_NodeName)</f>
        <v>K</v>
      </c>
      <c r="AU19" s="63">
        <v>0</v>
      </c>
    </row>
    <row r="20" spans="4:47" ht="15" thickBot="1" thickTop="1">
      <c r="D20">
        <v>11</v>
      </c>
      <c r="E20" s="9">
        <f t="shared" si="3"/>
        <v>0</v>
      </c>
      <c r="F20" s="13" t="s">
        <v>14</v>
      </c>
      <c r="G20" s="19" t="s">
        <v>52</v>
      </c>
      <c r="H20" s="15">
        <v>1</v>
      </c>
      <c r="I20" s="11">
        <v>1</v>
      </c>
      <c r="J20" s="24">
        <v>4</v>
      </c>
      <c r="K20" s="5">
        <f t="shared" si="4"/>
        <v>1.5</v>
      </c>
      <c r="L20" s="4">
        <f t="shared" si="5"/>
        <v>0.5</v>
      </c>
      <c r="M20" s="29">
        <f t="shared" si="6"/>
        <v>0.25</v>
      </c>
      <c r="N20" s="9">
        <f t="shared" si="7"/>
        <v>1.5</v>
      </c>
      <c r="O20" s="56" t="s">
        <v>10</v>
      </c>
      <c r="P20" s="57" t="s">
        <v>12</v>
      </c>
      <c r="Q20" s="57"/>
      <c r="R20" s="58"/>
      <c r="S20" s="19">
        <v>1</v>
      </c>
      <c r="T20" s="36">
        <v>12</v>
      </c>
      <c r="U20" s="5">
        <f t="shared" si="8"/>
        <v>46</v>
      </c>
      <c r="V20" s="4">
        <f t="shared" si="9"/>
        <v>51</v>
      </c>
      <c r="W20" s="4">
        <f t="shared" si="10"/>
        <v>47.5</v>
      </c>
      <c r="X20" s="4">
        <f t="shared" si="11"/>
        <v>52.5</v>
      </c>
      <c r="Y20" s="29">
        <f t="shared" si="12"/>
        <v>5</v>
      </c>
      <c r="Z20" s="9">
        <f t="shared" si="13"/>
        <v>0</v>
      </c>
      <c r="AC20">
        <v>12</v>
      </c>
      <c r="AD20" s="36">
        <v>12</v>
      </c>
      <c r="AE20" s="45" t="str">
        <f t="shared" si="14"/>
        <v>K</v>
      </c>
      <c r="AF20" s="29">
        <f t="shared" si="15"/>
        <v>1.5</v>
      </c>
      <c r="AG20" s="5">
        <f>MAX(AI16,AI18)</f>
        <v>46</v>
      </c>
      <c r="AH20" s="4">
        <f t="shared" si="0"/>
        <v>51</v>
      </c>
      <c r="AI20" s="4">
        <f t="shared" si="1"/>
        <v>47.5</v>
      </c>
      <c r="AJ20" s="29">
        <f>MIN(AH22,AH23)</f>
        <v>52.5</v>
      </c>
      <c r="AK20" s="9">
        <f t="shared" si="2"/>
        <v>0</v>
      </c>
      <c r="AL20" s="32">
        <v>5</v>
      </c>
      <c r="AM20" s="48">
        <v>0</v>
      </c>
      <c r="AP20" s="38">
        <v>12</v>
      </c>
      <c r="AQ20" s="32">
        <v>9</v>
      </c>
      <c r="AR20" s="48">
        <v>10</v>
      </c>
      <c r="AS20" s="41" t="str">
        <f>LOOKUP(Pump_From,Pump_Nodes,Pump_NodeName)</f>
        <v>H</v>
      </c>
      <c r="AT20" s="51" t="str">
        <f>LOOKUP(Pump_To,Pump_Nodes,Pump_NodeName)</f>
        <v>I</v>
      </c>
      <c r="AU20" s="63">
        <v>0</v>
      </c>
    </row>
    <row r="21" spans="4:47" ht="15" thickBot="1" thickTop="1">
      <c r="D21">
        <v>12</v>
      </c>
      <c r="E21" s="9">
        <f t="shared" si="3"/>
        <v>1</v>
      </c>
      <c r="F21" s="13" t="s">
        <v>15</v>
      </c>
      <c r="G21" s="19" t="s">
        <v>53</v>
      </c>
      <c r="H21" s="15">
        <v>1</v>
      </c>
      <c r="I21" s="11">
        <v>1</v>
      </c>
      <c r="J21" s="24">
        <v>4</v>
      </c>
      <c r="K21" s="5">
        <f t="shared" si="4"/>
        <v>1.5</v>
      </c>
      <c r="L21" s="4">
        <f t="shared" si="5"/>
        <v>0.5</v>
      </c>
      <c r="M21" s="29">
        <f t="shared" si="6"/>
        <v>0.25</v>
      </c>
      <c r="N21" s="9">
        <f t="shared" si="7"/>
        <v>1.5</v>
      </c>
      <c r="O21" s="56" t="s">
        <v>9</v>
      </c>
      <c r="P21" s="65" t="s">
        <v>13</v>
      </c>
      <c r="Q21" s="57"/>
      <c r="R21" s="58"/>
      <c r="S21" s="19">
        <v>2</v>
      </c>
      <c r="T21" s="36">
        <v>13</v>
      </c>
      <c r="U21" s="5">
        <f t="shared" si="8"/>
        <v>51</v>
      </c>
      <c r="V21" s="4">
        <f t="shared" si="9"/>
        <v>51</v>
      </c>
      <c r="W21" s="4">
        <f t="shared" si="10"/>
        <v>52.5</v>
      </c>
      <c r="X21" s="4">
        <f t="shared" si="11"/>
        <v>52.5</v>
      </c>
      <c r="Y21" s="29">
        <f t="shared" si="12"/>
        <v>0</v>
      </c>
      <c r="Z21" s="9">
        <f t="shared" si="13"/>
        <v>1</v>
      </c>
      <c r="AC21">
        <v>13</v>
      </c>
      <c r="AD21" s="36">
        <v>13</v>
      </c>
      <c r="AE21" s="45" t="str">
        <f t="shared" si="14"/>
        <v>L</v>
      </c>
      <c r="AF21" s="29">
        <f t="shared" si="15"/>
        <v>1.5</v>
      </c>
      <c r="AG21" s="5">
        <f>MAX(AI15,AI19)</f>
        <v>51</v>
      </c>
      <c r="AH21" s="4">
        <f t="shared" si="0"/>
        <v>51</v>
      </c>
      <c r="AI21" s="4">
        <f t="shared" si="1"/>
        <v>52.5</v>
      </c>
      <c r="AJ21" s="29">
        <f>MIN(AH22,AH23)</f>
        <v>52.5</v>
      </c>
      <c r="AK21" s="9">
        <f t="shared" si="2"/>
        <v>1</v>
      </c>
      <c r="AL21" s="32">
        <v>5</v>
      </c>
      <c r="AM21" s="48">
        <v>1</v>
      </c>
      <c r="AP21" s="38">
        <v>13</v>
      </c>
      <c r="AQ21" s="32">
        <v>9</v>
      </c>
      <c r="AR21" s="48">
        <v>11</v>
      </c>
      <c r="AS21" s="41" t="str">
        <f>LOOKUP(Pump_From,Pump_Nodes,Pump_NodeName)</f>
        <v>H</v>
      </c>
      <c r="AT21" s="51" t="str">
        <f>LOOKUP(Pump_To,Pump_Nodes,Pump_NodeName)</f>
        <v>J</v>
      </c>
      <c r="AU21" s="63">
        <v>1</v>
      </c>
    </row>
    <row r="22" spans="4:47" ht="15" thickBot="1" thickTop="1">
      <c r="D22">
        <v>13</v>
      </c>
      <c r="E22" s="9">
        <f t="shared" si="3"/>
        <v>1</v>
      </c>
      <c r="F22" s="13" t="s">
        <v>16</v>
      </c>
      <c r="G22" s="19" t="s">
        <v>54</v>
      </c>
      <c r="H22" s="15">
        <v>1</v>
      </c>
      <c r="I22" s="11">
        <v>4</v>
      </c>
      <c r="J22" s="24">
        <v>10</v>
      </c>
      <c r="K22" s="5">
        <f t="shared" si="4"/>
        <v>4.5</v>
      </c>
      <c r="L22" s="4">
        <f t="shared" si="5"/>
        <v>1.5</v>
      </c>
      <c r="M22" s="29">
        <f t="shared" si="6"/>
        <v>2.25</v>
      </c>
      <c r="N22" s="9">
        <f t="shared" si="7"/>
        <v>4.5</v>
      </c>
      <c r="O22" s="56" t="s">
        <v>14</v>
      </c>
      <c r="P22" s="65" t="s">
        <v>15</v>
      </c>
      <c r="Q22" s="57"/>
      <c r="R22" s="58"/>
      <c r="S22" s="19">
        <v>2</v>
      </c>
      <c r="T22" s="36">
        <v>14</v>
      </c>
      <c r="U22" s="5">
        <f t="shared" si="8"/>
        <v>52.5</v>
      </c>
      <c r="V22" s="4">
        <f t="shared" si="9"/>
        <v>52.5</v>
      </c>
      <c r="W22" s="4">
        <f t="shared" si="10"/>
        <v>57</v>
      </c>
      <c r="X22" s="4">
        <f t="shared" si="11"/>
        <v>57</v>
      </c>
      <c r="Y22" s="29">
        <f t="shared" si="12"/>
        <v>0</v>
      </c>
      <c r="Z22" s="9">
        <f t="shared" si="13"/>
        <v>1</v>
      </c>
      <c r="AC22">
        <v>14</v>
      </c>
      <c r="AD22" s="36">
        <v>14</v>
      </c>
      <c r="AE22" s="45" t="str">
        <f t="shared" si="14"/>
        <v>M</v>
      </c>
      <c r="AF22" s="29">
        <f t="shared" si="15"/>
        <v>4.5</v>
      </c>
      <c r="AG22" s="5">
        <f>MAX(AI20,AI21)</f>
        <v>52.5</v>
      </c>
      <c r="AH22" s="4">
        <f t="shared" si="0"/>
        <v>52.5</v>
      </c>
      <c r="AI22" s="4">
        <f t="shared" si="1"/>
        <v>57</v>
      </c>
      <c r="AJ22" s="29">
        <f>AH24</f>
        <v>57</v>
      </c>
      <c r="AK22" s="9">
        <f t="shared" si="2"/>
        <v>1</v>
      </c>
      <c r="AL22" s="32">
        <v>6</v>
      </c>
      <c r="AM22" s="48">
        <v>0</v>
      </c>
      <c r="AP22" s="38">
        <v>14</v>
      </c>
      <c r="AQ22" s="32">
        <v>10</v>
      </c>
      <c r="AR22" s="48">
        <v>12</v>
      </c>
      <c r="AS22" s="41" t="str">
        <f>LOOKUP(Pump_From,Pump_Nodes,Pump_NodeName)</f>
        <v>I</v>
      </c>
      <c r="AT22" s="51" t="str">
        <f>LOOKUP(Pump_To,Pump_Nodes,Pump_NodeName)</f>
        <v>K</v>
      </c>
      <c r="AU22" s="63">
        <v>0</v>
      </c>
    </row>
    <row r="23" spans="4:47" ht="15" thickBot="1" thickTop="1">
      <c r="D23">
        <v>14</v>
      </c>
      <c r="E23" s="10">
        <f t="shared" si="3"/>
        <v>0</v>
      </c>
      <c r="F23" s="14" t="s">
        <v>17</v>
      </c>
      <c r="G23" s="20" t="s">
        <v>55</v>
      </c>
      <c r="H23" s="17">
        <v>0.12</v>
      </c>
      <c r="I23" s="22">
        <v>1</v>
      </c>
      <c r="J23" s="25">
        <v>2</v>
      </c>
      <c r="K23" s="7">
        <f t="shared" si="4"/>
        <v>1.02</v>
      </c>
      <c r="L23" s="27">
        <f t="shared" si="5"/>
        <v>0.3133333333333333</v>
      </c>
      <c r="M23" s="30">
        <f t="shared" si="6"/>
        <v>0.09817777777777775</v>
      </c>
      <c r="N23" s="10">
        <f t="shared" si="7"/>
        <v>1.02</v>
      </c>
      <c r="O23" s="59" t="s">
        <v>14</v>
      </c>
      <c r="P23" s="60" t="s">
        <v>15</v>
      </c>
      <c r="Q23" s="60"/>
      <c r="R23" s="61"/>
      <c r="S23" s="20">
        <v>1</v>
      </c>
      <c r="T23" s="37">
        <v>15</v>
      </c>
      <c r="U23" s="7">
        <f t="shared" si="8"/>
        <v>52.5</v>
      </c>
      <c r="V23" s="27">
        <f t="shared" si="9"/>
        <v>55.98</v>
      </c>
      <c r="W23" s="27">
        <f t="shared" si="10"/>
        <v>53.52</v>
      </c>
      <c r="X23" s="27">
        <f t="shared" si="11"/>
        <v>57</v>
      </c>
      <c r="Y23" s="30">
        <f t="shared" si="12"/>
        <v>3.479999999999997</v>
      </c>
      <c r="Z23" s="10">
        <f t="shared" si="13"/>
        <v>0</v>
      </c>
      <c r="AC23">
        <v>15</v>
      </c>
      <c r="AD23" s="36">
        <v>15</v>
      </c>
      <c r="AE23" s="45" t="str">
        <f t="shared" si="14"/>
        <v>N</v>
      </c>
      <c r="AF23" s="29">
        <f t="shared" si="15"/>
        <v>1.02</v>
      </c>
      <c r="AG23" s="5">
        <f>MAX(AI20,AI21)</f>
        <v>52.5</v>
      </c>
      <c r="AH23" s="4">
        <f t="shared" si="0"/>
        <v>55.98</v>
      </c>
      <c r="AI23" s="4">
        <f t="shared" si="1"/>
        <v>53.52</v>
      </c>
      <c r="AJ23" s="29">
        <f>AH24</f>
        <v>57</v>
      </c>
      <c r="AK23" s="9">
        <f t="shared" si="2"/>
        <v>0</v>
      </c>
      <c r="AL23" s="32">
        <v>6</v>
      </c>
      <c r="AM23" s="48">
        <v>1</v>
      </c>
      <c r="AP23" s="38">
        <v>15</v>
      </c>
      <c r="AQ23" s="32">
        <v>11</v>
      </c>
      <c r="AR23" s="48">
        <v>13</v>
      </c>
      <c r="AS23" s="41" t="str">
        <f>LOOKUP(Pump_From,Pump_Nodes,Pump_NodeName)</f>
        <v>J</v>
      </c>
      <c r="AT23" s="51" t="str">
        <f>LOOKUP(Pump_To,Pump_Nodes,Pump_NodeName)</f>
        <v>L</v>
      </c>
      <c r="AU23" s="63">
        <v>1</v>
      </c>
    </row>
    <row r="24" spans="29:47" ht="15" thickBot="1" thickTop="1">
      <c r="AC24">
        <v>16</v>
      </c>
      <c r="AD24" s="37">
        <v>16</v>
      </c>
      <c r="AE24" s="46" t="s">
        <v>60</v>
      </c>
      <c r="AF24" s="30">
        <v>0</v>
      </c>
      <c r="AG24" s="7">
        <f>MAX(AI22,AI23)</f>
        <v>57</v>
      </c>
      <c r="AH24" s="27">
        <f t="shared" si="0"/>
        <v>57</v>
      </c>
      <c r="AI24" s="27">
        <f t="shared" si="1"/>
        <v>57</v>
      </c>
      <c r="AJ24" s="30">
        <f>Pump_ProjCritTime</f>
        <v>57</v>
      </c>
      <c r="AK24" s="10">
        <f t="shared" si="2"/>
        <v>1</v>
      </c>
      <c r="AL24" s="34">
        <v>7</v>
      </c>
      <c r="AM24" s="49">
        <v>0</v>
      </c>
      <c r="AP24" s="38">
        <v>16</v>
      </c>
      <c r="AQ24" s="32">
        <v>12</v>
      </c>
      <c r="AR24" s="48">
        <v>14</v>
      </c>
      <c r="AS24" s="41" t="str">
        <f>LOOKUP(Pump_From,Pump_Nodes,Pump_NodeName)</f>
        <v>K</v>
      </c>
      <c r="AT24" s="51" t="str">
        <f>LOOKUP(Pump_To,Pump_Nodes,Pump_NodeName)</f>
        <v>M</v>
      </c>
      <c r="AU24" s="63">
        <v>0</v>
      </c>
    </row>
    <row r="25" spans="14:47" ht="13.5" thickTop="1">
      <c r="N25" s="31" t="s">
        <v>30</v>
      </c>
      <c r="O25" s="4">
        <v>16</v>
      </c>
      <c r="AP25" s="38">
        <v>17</v>
      </c>
      <c r="AQ25" s="32">
        <v>12</v>
      </c>
      <c r="AR25" s="48">
        <v>15</v>
      </c>
      <c r="AS25" s="41" t="str">
        <f>LOOKUP(Pump_From,Pump_Nodes,Pump_NodeName)</f>
        <v>K</v>
      </c>
      <c r="AT25" s="51" t="str">
        <f>LOOKUP(Pump_To,Pump_Nodes,Pump_NodeName)</f>
        <v>N</v>
      </c>
      <c r="AU25" s="63">
        <v>0</v>
      </c>
    </row>
    <row r="26" spans="42:47" ht="12.75">
      <c r="AP26" s="38">
        <v>18</v>
      </c>
      <c r="AQ26" s="32">
        <v>13</v>
      </c>
      <c r="AR26" s="48">
        <v>14</v>
      </c>
      <c r="AS26" s="41" t="str">
        <f>LOOKUP(Pump_From,Pump_Nodes,Pump_NodeName)</f>
        <v>L</v>
      </c>
      <c r="AT26" s="51" t="str">
        <f>LOOKUP(Pump_To,Pump_Nodes,Pump_NodeName)</f>
        <v>M</v>
      </c>
      <c r="AU26" s="63">
        <v>1</v>
      </c>
    </row>
    <row r="27" spans="42:47" ht="12.75">
      <c r="AP27" s="38">
        <v>19</v>
      </c>
      <c r="AQ27" s="32">
        <v>13</v>
      </c>
      <c r="AR27" s="48">
        <v>15</v>
      </c>
      <c r="AS27" s="41" t="str">
        <f>LOOKUP(Pump_From,Pump_Nodes,Pump_NodeName)</f>
        <v>L</v>
      </c>
      <c r="AT27" s="51" t="str">
        <f>LOOKUP(Pump_To,Pump_Nodes,Pump_NodeName)</f>
        <v>N</v>
      </c>
      <c r="AU27" s="63">
        <v>0</v>
      </c>
    </row>
    <row r="28" spans="42:47" ht="12.75">
      <c r="AP28" s="38">
        <v>20</v>
      </c>
      <c r="AQ28" s="32">
        <v>14</v>
      </c>
      <c r="AR28" s="48">
        <v>16</v>
      </c>
      <c r="AS28" s="41" t="str">
        <f>LOOKUP(Pump_From,Pump_Nodes,Pump_NodeName)</f>
        <v>M</v>
      </c>
      <c r="AT28" s="51" t="str">
        <f>LOOKUP(Pump_To,Pump_Nodes,Pump_NodeName)</f>
        <v>End</v>
      </c>
      <c r="AU28" s="63">
        <v>1</v>
      </c>
    </row>
    <row r="29" spans="42:47" ht="13.5" thickBot="1">
      <c r="AP29" s="38">
        <v>21</v>
      </c>
      <c r="AQ29" s="34">
        <v>15</v>
      </c>
      <c r="AR29" s="49">
        <v>16</v>
      </c>
      <c r="AS29" s="43" t="str">
        <f>LOOKUP(Pump_From,Pump_Nodes,Pump_NodeName)</f>
        <v>N</v>
      </c>
      <c r="AT29" s="52" t="str">
        <f>LOOKUP(Pump_To,Pump_Nodes,Pump_NodeName)</f>
        <v>End</v>
      </c>
      <c r="AU29" s="64">
        <v>0</v>
      </c>
    </row>
    <row r="30" ht="13.5" thickTop="1"/>
  </sheetData>
  <conditionalFormatting sqref="E10:E23 Z10:Z23 AK9:AK24 AU9:AU29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H30"/>
  <sheetViews>
    <sheetView workbookViewId="0" topLeftCell="A1">
      <selection activeCell="J31" sqref="J31"/>
    </sheetView>
  </sheetViews>
  <sheetFormatPr defaultColWidth="11.00390625" defaultRowHeight="12.75"/>
  <cols>
    <col min="1" max="1" width="18.75390625" style="0" customWidth="1"/>
    <col min="2" max="4" width="7.75390625" style="0" customWidth="1"/>
    <col min="5" max="7" width="5.75390625" style="0" customWidth="1"/>
    <col min="8" max="8" width="23.00390625" style="0" customWidth="1"/>
    <col min="9" max="17" width="5.75390625" style="0" customWidth="1"/>
    <col min="18" max="85" width="3.25390625" style="0" customWidth="1"/>
  </cols>
  <sheetData>
    <row r="1" ht="12.75">
      <c r="A1" s="3" t="s">
        <v>77</v>
      </c>
    </row>
    <row r="3" ht="12.75">
      <c r="C3" s="40" t="s">
        <v>103</v>
      </c>
    </row>
    <row r="6" spans="1:5" ht="12.75">
      <c r="A6" s="66" t="s">
        <v>78</v>
      </c>
      <c r="B6" s="4">
        <v>1</v>
      </c>
      <c r="C6" t="s">
        <v>28</v>
      </c>
      <c r="E6" s="3" t="s">
        <v>79</v>
      </c>
    </row>
    <row r="7" spans="6:18" ht="12.75">
      <c r="F7" s="38"/>
      <c r="G7" s="38"/>
      <c r="H7" s="38"/>
      <c r="I7" s="38"/>
      <c r="J7" s="38" t="s">
        <v>33</v>
      </c>
      <c r="K7" s="38" t="s">
        <v>35</v>
      </c>
      <c r="L7" s="38"/>
      <c r="M7" s="38" t="s">
        <v>80</v>
      </c>
      <c r="N7" s="38" t="s">
        <v>82</v>
      </c>
      <c r="O7" s="38" t="s">
        <v>82</v>
      </c>
      <c r="P7" s="1" t="s">
        <v>31</v>
      </c>
      <c r="Q7" s="38"/>
      <c r="R7" t="s">
        <v>27</v>
      </c>
    </row>
    <row r="8" spans="1:85" ht="13.5" thickBot="1">
      <c r="A8" s="66" t="s">
        <v>89</v>
      </c>
      <c r="E8" t="s">
        <v>59</v>
      </c>
      <c r="F8" s="38" t="s">
        <v>32</v>
      </c>
      <c r="G8" s="38" t="s">
        <v>3</v>
      </c>
      <c r="H8" s="38" t="s">
        <v>18</v>
      </c>
      <c r="I8" s="38" t="s">
        <v>27</v>
      </c>
      <c r="J8" s="38" t="s">
        <v>34</v>
      </c>
      <c r="K8" s="38" t="s">
        <v>34</v>
      </c>
      <c r="L8" s="38" t="s">
        <v>37</v>
      </c>
      <c r="M8" s="38" t="s">
        <v>81</v>
      </c>
      <c r="N8" s="38" t="s">
        <v>34</v>
      </c>
      <c r="O8" s="38" t="s">
        <v>36</v>
      </c>
      <c r="P8" s="38" t="str">
        <f>INDEX(Pump_ActResName,1)</f>
        <v>Crew</v>
      </c>
      <c r="Q8" s="38" t="s">
        <v>83</v>
      </c>
      <c r="R8">
        <v>1</v>
      </c>
      <c r="S8">
        <v>2</v>
      </c>
      <c r="T8">
        <v>3</v>
      </c>
      <c r="U8">
        <v>4</v>
      </c>
      <c r="V8">
        <v>5</v>
      </c>
      <c r="W8">
        <v>6</v>
      </c>
      <c r="X8">
        <v>7</v>
      </c>
      <c r="Y8">
        <v>8</v>
      </c>
      <c r="Z8">
        <v>9</v>
      </c>
      <c r="AA8">
        <v>10</v>
      </c>
      <c r="AB8">
        <v>11</v>
      </c>
      <c r="AC8">
        <v>12</v>
      </c>
      <c r="AD8">
        <v>13</v>
      </c>
      <c r="AE8">
        <v>14</v>
      </c>
      <c r="AF8">
        <v>15</v>
      </c>
      <c r="AG8">
        <v>16</v>
      </c>
      <c r="AH8">
        <v>17</v>
      </c>
      <c r="AI8">
        <v>18</v>
      </c>
      <c r="AJ8">
        <v>19</v>
      </c>
      <c r="AK8">
        <v>20</v>
      </c>
      <c r="AL8">
        <v>21</v>
      </c>
      <c r="AM8">
        <v>22</v>
      </c>
      <c r="AN8">
        <v>23</v>
      </c>
      <c r="AO8">
        <v>24</v>
      </c>
      <c r="AP8">
        <v>25</v>
      </c>
      <c r="AQ8">
        <v>26</v>
      </c>
      <c r="AR8">
        <v>27</v>
      </c>
      <c r="AS8">
        <v>28</v>
      </c>
      <c r="AT8">
        <v>29</v>
      </c>
      <c r="AU8">
        <v>30</v>
      </c>
      <c r="AV8">
        <v>31</v>
      </c>
      <c r="AW8">
        <v>32</v>
      </c>
      <c r="AX8">
        <v>33</v>
      </c>
      <c r="AY8">
        <v>34</v>
      </c>
      <c r="AZ8">
        <v>35</v>
      </c>
      <c r="BA8">
        <v>36</v>
      </c>
      <c r="BB8">
        <v>37</v>
      </c>
      <c r="BC8">
        <v>38</v>
      </c>
      <c r="BD8">
        <v>39</v>
      </c>
      <c r="BE8">
        <v>40</v>
      </c>
      <c r="BF8">
        <v>41</v>
      </c>
      <c r="BG8">
        <v>42</v>
      </c>
      <c r="BH8">
        <v>43</v>
      </c>
      <c r="BI8">
        <v>44</v>
      </c>
      <c r="BJ8">
        <v>45</v>
      </c>
      <c r="BK8">
        <v>46</v>
      </c>
      <c r="BL8">
        <v>47</v>
      </c>
      <c r="BM8">
        <v>48</v>
      </c>
      <c r="BN8">
        <v>49</v>
      </c>
      <c r="BO8">
        <v>50</v>
      </c>
      <c r="BP8">
        <v>51</v>
      </c>
      <c r="BQ8">
        <v>52</v>
      </c>
      <c r="BR8">
        <v>53</v>
      </c>
      <c r="BS8">
        <v>54</v>
      </c>
      <c r="BT8">
        <v>55</v>
      </c>
      <c r="BU8">
        <v>56</v>
      </c>
      <c r="BV8">
        <v>57</v>
      </c>
      <c r="BW8">
        <v>58</v>
      </c>
      <c r="BX8">
        <v>59</v>
      </c>
      <c r="BY8">
        <v>60</v>
      </c>
      <c r="BZ8">
        <v>61</v>
      </c>
      <c r="CA8">
        <v>62</v>
      </c>
      <c r="CB8">
        <v>63</v>
      </c>
      <c r="CC8">
        <v>64</v>
      </c>
      <c r="CD8">
        <v>65</v>
      </c>
      <c r="CE8">
        <v>66</v>
      </c>
      <c r="CF8">
        <v>67</v>
      </c>
      <c r="CG8">
        <v>68</v>
      </c>
    </row>
    <row r="9" spans="1:86" ht="13.5" thickTop="1">
      <c r="A9" s="66" t="s">
        <v>90</v>
      </c>
      <c r="E9">
        <v>1</v>
      </c>
      <c r="F9" s="8">
        <f>INDEX(Pump_NodeSort,1)</f>
        <v>1</v>
      </c>
      <c r="G9" s="44" t="s">
        <v>34</v>
      </c>
      <c r="H9" s="8" t="s">
        <v>34</v>
      </c>
      <c r="I9" s="8">
        <f aca="true" t="shared" si="0" ref="I9:I24">Pump_NodeTime</f>
        <v>0</v>
      </c>
      <c r="J9" s="6">
        <v>0</v>
      </c>
      <c r="K9" s="26">
        <f aca="true" t="shared" si="1" ref="K9:K24">Pump_LateStart+Pump_SchedDelayProj</f>
        <v>0</v>
      </c>
      <c r="L9" s="28">
        <f aca="true" t="shared" si="2" ref="L9:L24">K9-J9</f>
        <v>0</v>
      </c>
      <c r="M9" s="35">
        <v>0</v>
      </c>
      <c r="N9" s="6">
        <f aca="true" t="shared" si="3" ref="N9:N24">J9+M9</f>
        <v>0</v>
      </c>
      <c r="O9" s="28">
        <f aca="true" t="shared" si="4" ref="O9:O24">N9+I9</f>
        <v>0</v>
      </c>
      <c r="P9" s="8">
        <v>0</v>
      </c>
      <c r="Q9" s="67"/>
      <c r="R9" s="82">
        <f aca="true" t="shared" si="5" ref="R9:AW9">IF(AND(Pump_SchedStart&lt;Pump_T,Pump_SchedFinish&gt;=Pump_T),1,0)</f>
        <v>0</v>
      </c>
      <c r="S9" s="83">
        <f t="shared" si="5"/>
        <v>0</v>
      </c>
      <c r="T9" s="83">
        <f t="shared" si="5"/>
        <v>0</v>
      </c>
      <c r="U9" s="83">
        <f t="shared" si="5"/>
        <v>0</v>
      </c>
      <c r="V9" s="83">
        <f t="shared" si="5"/>
        <v>0</v>
      </c>
      <c r="W9" s="83">
        <f t="shared" si="5"/>
        <v>0</v>
      </c>
      <c r="X9" s="83">
        <f t="shared" si="5"/>
        <v>0</v>
      </c>
      <c r="Y9" s="83">
        <f t="shared" si="5"/>
        <v>0</v>
      </c>
      <c r="Z9" s="83">
        <f t="shared" si="5"/>
        <v>0</v>
      </c>
      <c r="AA9" s="83">
        <f t="shared" si="5"/>
        <v>0</v>
      </c>
      <c r="AB9" s="83">
        <f t="shared" si="5"/>
        <v>0</v>
      </c>
      <c r="AC9" s="83">
        <f t="shared" si="5"/>
        <v>0</v>
      </c>
      <c r="AD9" s="83">
        <f t="shared" si="5"/>
        <v>0</v>
      </c>
      <c r="AE9" s="83">
        <f t="shared" si="5"/>
        <v>0</v>
      </c>
      <c r="AF9" s="83">
        <f t="shared" si="5"/>
        <v>0</v>
      </c>
      <c r="AG9" s="83">
        <f t="shared" si="5"/>
        <v>0</v>
      </c>
      <c r="AH9" s="83">
        <f t="shared" si="5"/>
        <v>0</v>
      </c>
      <c r="AI9" s="83">
        <f t="shared" si="5"/>
        <v>0</v>
      </c>
      <c r="AJ9" s="83">
        <f t="shared" si="5"/>
        <v>0</v>
      </c>
      <c r="AK9" s="83">
        <f t="shared" si="5"/>
        <v>0</v>
      </c>
      <c r="AL9" s="83">
        <f t="shared" si="5"/>
        <v>0</v>
      </c>
      <c r="AM9" s="83">
        <f t="shared" si="5"/>
        <v>0</v>
      </c>
      <c r="AN9" s="83">
        <f t="shared" si="5"/>
        <v>0</v>
      </c>
      <c r="AO9" s="83">
        <f t="shared" si="5"/>
        <v>0</v>
      </c>
      <c r="AP9" s="83">
        <f t="shared" si="5"/>
        <v>0</v>
      </c>
      <c r="AQ9" s="83">
        <f t="shared" si="5"/>
        <v>0</v>
      </c>
      <c r="AR9" s="83">
        <f t="shared" si="5"/>
        <v>0</v>
      </c>
      <c r="AS9" s="83">
        <f t="shared" si="5"/>
        <v>0</v>
      </c>
      <c r="AT9" s="83">
        <f t="shared" si="5"/>
        <v>0</v>
      </c>
      <c r="AU9" s="83">
        <f t="shared" si="5"/>
        <v>0</v>
      </c>
      <c r="AV9" s="83">
        <f t="shared" si="5"/>
        <v>0</v>
      </c>
      <c r="AW9" s="83">
        <f t="shared" si="5"/>
        <v>0</v>
      </c>
      <c r="AX9" s="83">
        <f aca="true" t="shared" si="6" ref="AX9:CG9">IF(AND(Pump_SchedStart&lt;Pump_T,Pump_SchedFinish&gt;=Pump_T),1,0)</f>
        <v>0</v>
      </c>
      <c r="AY9" s="83">
        <f t="shared" si="6"/>
        <v>0</v>
      </c>
      <c r="AZ9" s="83">
        <f t="shared" si="6"/>
        <v>0</v>
      </c>
      <c r="BA9" s="83">
        <f t="shared" si="6"/>
        <v>0</v>
      </c>
      <c r="BB9" s="83">
        <f t="shared" si="6"/>
        <v>0</v>
      </c>
      <c r="BC9" s="83">
        <f t="shared" si="6"/>
        <v>0</v>
      </c>
      <c r="BD9" s="83">
        <f t="shared" si="6"/>
        <v>0</v>
      </c>
      <c r="BE9" s="83">
        <f t="shared" si="6"/>
        <v>0</v>
      </c>
      <c r="BF9" s="83">
        <f t="shared" si="6"/>
        <v>0</v>
      </c>
      <c r="BG9" s="83">
        <f t="shared" si="6"/>
        <v>0</v>
      </c>
      <c r="BH9" s="83">
        <f t="shared" si="6"/>
        <v>0</v>
      </c>
      <c r="BI9" s="83">
        <f t="shared" si="6"/>
        <v>0</v>
      </c>
      <c r="BJ9" s="83">
        <f t="shared" si="6"/>
        <v>0</v>
      </c>
      <c r="BK9" s="83">
        <f t="shared" si="6"/>
        <v>0</v>
      </c>
      <c r="BL9" s="83">
        <f t="shared" si="6"/>
        <v>0</v>
      </c>
      <c r="BM9" s="83">
        <f t="shared" si="6"/>
        <v>0</v>
      </c>
      <c r="BN9" s="83">
        <f t="shared" si="6"/>
        <v>0</v>
      </c>
      <c r="BO9" s="83">
        <f t="shared" si="6"/>
        <v>0</v>
      </c>
      <c r="BP9" s="83">
        <f t="shared" si="6"/>
        <v>0</v>
      </c>
      <c r="BQ9" s="83">
        <f t="shared" si="6"/>
        <v>0</v>
      </c>
      <c r="BR9" s="83">
        <f t="shared" si="6"/>
        <v>0</v>
      </c>
      <c r="BS9" s="83">
        <f t="shared" si="6"/>
        <v>0</v>
      </c>
      <c r="BT9" s="83">
        <f t="shared" si="6"/>
        <v>0</v>
      </c>
      <c r="BU9" s="83">
        <f t="shared" si="6"/>
        <v>0</v>
      </c>
      <c r="BV9" s="83">
        <f t="shared" si="6"/>
        <v>0</v>
      </c>
      <c r="BW9" s="83">
        <f t="shared" si="6"/>
        <v>0</v>
      </c>
      <c r="BX9" s="83">
        <f t="shared" si="6"/>
        <v>0</v>
      </c>
      <c r="BY9" s="83">
        <f t="shared" si="6"/>
        <v>0</v>
      </c>
      <c r="BZ9" s="83">
        <f t="shared" si="6"/>
        <v>0</v>
      </c>
      <c r="CA9" s="83">
        <f t="shared" si="6"/>
        <v>0</v>
      </c>
      <c r="CB9" s="83">
        <f t="shared" si="6"/>
        <v>0</v>
      </c>
      <c r="CC9" s="83">
        <f t="shared" si="6"/>
        <v>0</v>
      </c>
      <c r="CD9" s="83">
        <f t="shared" si="6"/>
        <v>0</v>
      </c>
      <c r="CE9" s="83">
        <f t="shared" si="6"/>
        <v>0</v>
      </c>
      <c r="CF9" s="83">
        <f t="shared" si="6"/>
        <v>0</v>
      </c>
      <c r="CG9" s="86">
        <f t="shared" si="6"/>
        <v>0</v>
      </c>
      <c r="CH9" s="79"/>
    </row>
    <row r="10" spans="1:86" ht="12.75">
      <c r="A10" s="31" t="s">
        <v>91</v>
      </c>
      <c r="B10" s="11">
        <v>0</v>
      </c>
      <c r="C10" t="s">
        <v>28</v>
      </c>
      <c r="E10">
        <v>2</v>
      </c>
      <c r="F10" s="9">
        <f>INDEX(Pump_NodeSort,2)</f>
        <v>2</v>
      </c>
      <c r="G10" s="45" t="str">
        <f aca="true" t="shared" si="7" ref="G10:G23">INDEX(Pump_ActName,F10-1)</f>
        <v>A</v>
      </c>
      <c r="H10" s="9" t="str">
        <f aca="true" t="shared" si="8" ref="H10:H23">INDEX(Pump_ActDesc,F10-1)</f>
        <v>POUR SLAB</v>
      </c>
      <c r="I10" s="9">
        <f t="shared" si="0"/>
        <v>12</v>
      </c>
      <c r="J10" s="5">
        <f>O9</f>
        <v>0</v>
      </c>
      <c r="K10" s="4">
        <f t="shared" si="1"/>
        <v>0</v>
      </c>
      <c r="L10" s="29">
        <f t="shared" si="2"/>
        <v>0</v>
      </c>
      <c r="M10" s="36">
        <v>0</v>
      </c>
      <c r="N10" s="5">
        <f t="shared" si="3"/>
        <v>0</v>
      </c>
      <c r="O10" s="29">
        <f t="shared" si="4"/>
        <v>12</v>
      </c>
      <c r="P10" s="9">
        <f>INDEX(Pump_ActRes,1,1)</f>
        <v>4</v>
      </c>
      <c r="Q10" s="68"/>
      <c r="R10" s="81">
        <f aca="true" t="shared" si="9" ref="R10:AW10">IF(AND(Pump_SchedStart&lt;Pump_T,Pump_SchedFinish&gt;=Pump_T),1,0)</f>
        <v>1</v>
      </c>
      <c r="S10" s="80">
        <f t="shared" si="9"/>
        <v>1</v>
      </c>
      <c r="T10" s="80">
        <f t="shared" si="9"/>
        <v>1</v>
      </c>
      <c r="U10" s="80">
        <f t="shared" si="9"/>
        <v>1</v>
      </c>
      <c r="V10" s="80">
        <f t="shared" si="9"/>
        <v>1</v>
      </c>
      <c r="W10" s="80">
        <f t="shared" si="9"/>
        <v>1</v>
      </c>
      <c r="X10" s="80">
        <f t="shared" si="9"/>
        <v>1</v>
      </c>
      <c r="Y10" s="80">
        <f t="shared" si="9"/>
        <v>1</v>
      </c>
      <c r="Z10" s="80">
        <f t="shared" si="9"/>
        <v>1</v>
      </c>
      <c r="AA10" s="80">
        <f t="shared" si="9"/>
        <v>1</v>
      </c>
      <c r="AB10" s="80">
        <f t="shared" si="9"/>
        <v>1</v>
      </c>
      <c r="AC10" s="80">
        <f t="shared" si="9"/>
        <v>1</v>
      </c>
      <c r="AD10" s="80">
        <f t="shared" si="9"/>
        <v>0</v>
      </c>
      <c r="AE10" s="80">
        <f t="shared" si="9"/>
        <v>0</v>
      </c>
      <c r="AF10" s="80">
        <f t="shared" si="9"/>
        <v>0</v>
      </c>
      <c r="AG10" s="80">
        <f t="shared" si="9"/>
        <v>0</v>
      </c>
      <c r="AH10" s="80">
        <f t="shared" si="9"/>
        <v>0</v>
      </c>
      <c r="AI10" s="80">
        <f t="shared" si="9"/>
        <v>0</v>
      </c>
      <c r="AJ10" s="80">
        <f t="shared" si="9"/>
        <v>0</v>
      </c>
      <c r="AK10" s="80">
        <f t="shared" si="9"/>
        <v>0</v>
      </c>
      <c r="AL10" s="80">
        <f t="shared" si="9"/>
        <v>0</v>
      </c>
      <c r="AM10" s="80">
        <f t="shared" si="9"/>
        <v>0</v>
      </c>
      <c r="AN10" s="80">
        <f t="shared" si="9"/>
        <v>0</v>
      </c>
      <c r="AO10" s="80">
        <f t="shared" si="9"/>
        <v>0</v>
      </c>
      <c r="AP10" s="80">
        <f t="shared" si="9"/>
        <v>0</v>
      </c>
      <c r="AQ10" s="80">
        <f t="shared" si="9"/>
        <v>0</v>
      </c>
      <c r="AR10" s="80">
        <f t="shared" si="9"/>
        <v>0</v>
      </c>
      <c r="AS10" s="80">
        <f t="shared" si="9"/>
        <v>0</v>
      </c>
      <c r="AT10" s="80">
        <f t="shared" si="9"/>
        <v>0</v>
      </c>
      <c r="AU10" s="80">
        <f t="shared" si="9"/>
        <v>0</v>
      </c>
      <c r="AV10" s="80">
        <f t="shared" si="9"/>
        <v>0</v>
      </c>
      <c r="AW10" s="80">
        <f t="shared" si="9"/>
        <v>0</v>
      </c>
      <c r="AX10" s="80">
        <f aca="true" t="shared" si="10" ref="AX10:CG10">IF(AND(Pump_SchedStart&lt;Pump_T,Pump_SchedFinish&gt;=Pump_T),1,0)</f>
        <v>0</v>
      </c>
      <c r="AY10" s="80">
        <f t="shared" si="10"/>
        <v>0</v>
      </c>
      <c r="AZ10" s="80">
        <f t="shared" si="10"/>
        <v>0</v>
      </c>
      <c r="BA10" s="80">
        <f t="shared" si="10"/>
        <v>0</v>
      </c>
      <c r="BB10" s="80">
        <f t="shared" si="10"/>
        <v>0</v>
      </c>
      <c r="BC10" s="80">
        <f t="shared" si="10"/>
        <v>0</v>
      </c>
      <c r="BD10" s="80">
        <f t="shared" si="10"/>
        <v>0</v>
      </c>
      <c r="BE10" s="80">
        <f t="shared" si="10"/>
        <v>0</v>
      </c>
      <c r="BF10" s="80">
        <f t="shared" si="10"/>
        <v>0</v>
      </c>
      <c r="BG10" s="80">
        <f t="shared" si="10"/>
        <v>0</v>
      </c>
      <c r="BH10" s="80">
        <f t="shared" si="10"/>
        <v>0</v>
      </c>
      <c r="BI10" s="80">
        <f t="shared" si="10"/>
        <v>0</v>
      </c>
      <c r="BJ10" s="80">
        <f t="shared" si="10"/>
        <v>0</v>
      </c>
      <c r="BK10" s="80">
        <f t="shared" si="10"/>
        <v>0</v>
      </c>
      <c r="BL10" s="80">
        <f t="shared" si="10"/>
        <v>0</v>
      </c>
      <c r="BM10" s="80">
        <f t="shared" si="10"/>
        <v>0</v>
      </c>
      <c r="BN10" s="80">
        <f t="shared" si="10"/>
        <v>0</v>
      </c>
      <c r="BO10" s="80">
        <f t="shared" si="10"/>
        <v>0</v>
      </c>
      <c r="BP10" s="80">
        <f t="shared" si="10"/>
        <v>0</v>
      </c>
      <c r="BQ10" s="80">
        <f t="shared" si="10"/>
        <v>0</v>
      </c>
      <c r="BR10" s="80">
        <f t="shared" si="10"/>
        <v>0</v>
      </c>
      <c r="BS10" s="80">
        <f t="shared" si="10"/>
        <v>0</v>
      </c>
      <c r="BT10" s="80">
        <f t="shared" si="10"/>
        <v>0</v>
      </c>
      <c r="BU10" s="80">
        <f t="shared" si="10"/>
        <v>0</v>
      </c>
      <c r="BV10" s="80">
        <f t="shared" si="10"/>
        <v>0</v>
      </c>
      <c r="BW10" s="80">
        <f t="shared" si="10"/>
        <v>0</v>
      </c>
      <c r="BX10" s="80">
        <f t="shared" si="10"/>
        <v>0</v>
      </c>
      <c r="BY10" s="80">
        <f t="shared" si="10"/>
        <v>0</v>
      </c>
      <c r="BZ10" s="80">
        <f t="shared" si="10"/>
        <v>0</v>
      </c>
      <c r="CA10" s="80">
        <f t="shared" si="10"/>
        <v>0</v>
      </c>
      <c r="CB10" s="80">
        <f t="shared" si="10"/>
        <v>0</v>
      </c>
      <c r="CC10" s="80">
        <f t="shared" si="10"/>
        <v>0</v>
      </c>
      <c r="CD10" s="80">
        <f t="shared" si="10"/>
        <v>0</v>
      </c>
      <c r="CE10" s="80">
        <f t="shared" si="10"/>
        <v>0</v>
      </c>
      <c r="CF10" s="80">
        <f t="shared" si="10"/>
        <v>0</v>
      </c>
      <c r="CG10" s="87">
        <f t="shared" si="10"/>
        <v>0</v>
      </c>
      <c r="CH10" s="79"/>
    </row>
    <row r="11" spans="1:86" ht="12.75">
      <c r="A11" s="31" t="s">
        <v>92</v>
      </c>
      <c r="B11" s="11">
        <v>1</v>
      </c>
      <c r="C11" t="s">
        <v>93</v>
      </c>
      <c r="E11">
        <v>3</v>
      </c>
      <c r="F11" s="9">
        <f>INDEX(Pump_NodeSort,3)</f>
        <v>3</v>
      </c>
      <c r="G11" s="45" t="str">
        <f t="shared" si="7"/>
        <v>B</v>
      </c>
      <c r="H11" s="9" t="str">
        <f t="shared" si="8"/>
        <v>ORDER PUMP UNIT</v>
      </c>
      <c r="I11" s="9">
        <f t="shared" si="0"/>
        <v>0.25</v>
      </c>
      <c r="J11" s="5">
        <f>O9</f>
        <v>0</v>
      </c>
      <c r="K11" s="4">
        <f t="shared" si="1"/>
        <v>27.75</v>
      </c>
      <c r="L11" s="29">
        <f t="shared" si="2"/>
        <v>27.75</v>
      </c>
      <c r="M11" s="36">
        <v>0</v>
      </c>
      <c r="N11" s="5">
        <f t="shared" si="3"/>
        <v>0</v>
      </c>
      <c r="O11" s="29">
        <f t="shared" si="4"/>
        <v>0.25</v>
      </c>
      <c r="P11" s="9">
        <f>INDEX(Pump_ActRes,2,1)</f>
        <v>1</v>
      </c>
      <c r="Q11" s="69"/>
      <c r="R11" s="81">
        <f aca="true" t="shared" si="11" ref="R11:AW11">IF(AND(Pump_SchedStart&lt;Pump_T,Pump_SchedFinish&gt;=Pump_T),1,0)</f>
        <v>0</v>
      </c>
      <c r="S11" s="80">
        <f t="shared" si="11"/>
        <v>0</v>
      </c>
      <c r="T11" s="80">
        <f t="shared" si="11"/>
        <v>0</v>
      </c>
      <c r="U11" s="80">
        <f t="shared" si="11"/>
        <v>0</v>
      </c>
      <c r="V11" s="80">
        <f t="shared" si="11"/>
        <v>0</v>
      </c>
      <c r="W11" s="80">
        <f t="shared" si="11"/>
        <v>0</v>
      </c>
      <c r="X11" s="80">
        <f t="shared" si="11"/>
        <v>0</v>
      </c>
      <c r="Y11" s="80">
        <f t="shared" si="11"/>
        <v>0</v>
      </c>
      <c r="Z11" s="80">
        <f t="shared" si="11"/>
        <v>0</v>
      </c>
      <c r="AA11" s="80">
        <f t="shared" si="11"/>
        <v>0</v>
      </c>
      <c r="AB11" s="80">
        <f t="shared" si="11"/>
        <v>0</v>
      </c>
      <c r="AC11" s="80">
        <f t="shared" si="11"/>
        <v>0</v>
      </c>
      <c r="AD11" s="80">
        <f t="shared" si="11"/>
        <v>0</v>
      </c>
      <c r="AE11" s="80">
        <f t="shared" si="11"/>
        <v>0</v>
      </c>
      <c r="AF11" s="80">
        <f t="shared" si="11"/>
        <v>0</v>
      </c>
      <c r="AG11" s="80">
        <f t="shared" si="11"/>
        <v>0</v>
      </c>
      <c r="AH11" s="80">
        <f t="shared" si="11"/>
        <v>0</v>
      </c>
      <c r="AI11" s="80">
        <f t="shared" si="11"/>
        <v>0</v>
      </c>
      <c r="AJ11" s="80">
        <f t="shared" si="11"/>
        <v>0</v>
      </c>
      <c r="AK11" s="80">
        <f t="shared" si="11"/>
        <v>0</v>
      </c>
      <c r="AL11" s="80">
        <f t="shared" si="11"/>
        <v>0</v>
      </c>
      <c r="AM11" s="80">
        <f t="shared" si="11"/>
        <v>0</v>
      </c>
      <c r="AN11" s="80">
        <f t="shared" si="11"/>
        <v>0</v>
      </c>
      <c r="AO11" s="80">
        <f t="shared" si="11"/>
        <v>0</v>
      </c>
      <c r="AP11" s="80">
        <f t="shared" si="11"/>
        <v>0</v>
      </c>
      <c r="AQ11" s="80">
        <f t="shared" si="11"/>
        <v>0</v>
      </c>
      <c r="AR11" s="80">
        <f t="shared" si="11"/>
        <v>0</v>
      </c>
      <c r="AS11" s="80">
        <f t="shared" si="11"/>
        <v>0</v>
      </c>
      <c r="AT11" s="80">
        <f t="shared" si="11"/>
        <v>0</v>
      </c>
      <c r="AU11" s="80">
        <f t="shared" si="11"/>
        <v>0</v>
      </c>
      <c r="AV11" s="80">
        <f t="shared" si="11"/>
        <v>0</v>
      </c>
      <c r="AW11" s="80">
        <f t="shared" si="11"/>
        <v>0</v>
      </c>
      <c r="AX11" s="80">
        <f aca="true" t="shared" si="12" ref="AX11:CG11">IF(AND(Pump_SchedStart&lt;Pump_T,Pump_SchedFinish&gt;=Pump_T),1,0)</f>
        <v>0</v>
      </c>
      <c r="AY11" s="80">
        <f t="shared" si="12"/>
        <v>0</v>
      </c>
      <c r="AZ11" s="80">
        <f t="shared" si="12"/>
        <v>0</v>
      </c>
      <c r="BA11" s="80">
        <f t="shared" si="12"/>
        <v>0</v>
      </c>
      <c r="BB11" s="80">
        <f t="shared" si="12"/>
        <v>0</v>
      </c>
      <c r="BC11" s="80">
        <f t="shared" si="12"/>
        <v>0</v>
      </c>
      <c r="BD11" s="80">
        <f t="shared" si="12"/>
        <v>0</v>
      </c>
      <c r="BE11" s="80">
        <f t="shared" si="12"/>
        <v>0</v>
      </c>
      <c r="BF11" s="80">
        <f t="shared" si="12"/>
        <v>0</v>
      </c>
      <c r="BG11" s="80">
        <f t="shared" si="12"/>
        <v>0</v>
      </c>
      <c r="BH11" s="80">
        <f t="shared" si="12"/>
        <v>0</v>
      </c>
      <c r="BI11" s="80">
        <f t="shared" si="12"/>
        <v>0</v>
      </c>
      <c r="BJ11" s="80">
        <f t="shared" si="12"/>
        <v>0</v>
      </c>
      <c r="BK11" s="80">
        <f t="shared" si="12"/>
        <v>0</v>
      </c>
      <c r="BL11" s="80">
        <f t="shared" si="12"/>
        <v>0</v>
      </c>
      <c r="BM11" s="80">
        <f t="shared" si="12"/>
        <v>0</v>
      </c>
      <c r="BN11" s="80">
        <f t="shared" si="12"/>
        <v>0</v>
      </c>
      <c r="BO11" s="80">
        <f t="shared" si="12"/>
        <v>0</v>
      </c>
      <c r="BP11" s="80">
        <f t="shared" si="12"/>
        <v>0</v>
      </c>
      <c r="BQ11" s="80">
        <f t="shared" si="12"/>
        <v>0</v>
      </c>
      <c r="BR11" s="80">
        <f t="shared" si="12"/>
        <v>0</v>
      </c>
      <c r="BS11" s="80">
        <f t="shared" si="12"/>
        <v>0</v>
      </c>
      <c r="BT11" s="80">
        <f t="shared" si="12"/>
        <v>0</v>
      </c>
      <c r="BU11" s="80">
        <f t="shared" si="12"/>
        <v>0</v>
      </c>
      <c r="BV11" s="80">
        <f t="shared" si="12"/>
        <v>0</v>
      </c>
      <c r="BW11" s="80">
        <f t="shared" si="12"/>
        <v>0</v>
      </c>
      <c r="BX11" s="80">
        <f t="shared" si="12"/>
        <v>0</v>
      </c>
      <c r="BY11" s="80">
        <f t="shared" si="12"/>
        <v>0</v>
      </c>
      <c r="BZ11" s="80">
        <f t="shared" si="12"/>
        <v>0</v>
      </c>
      <c r="CA11" s="80">
        <f t="shared" si="12"/>
        <v>0</v>
      </c>
      <c r="CB11" s="80">
        <f t="shared" si="12"/>
        <v>0</v>
      </c>
      <c r="CC11" s="80">
        <f t="shared" si="12"/>
        <v>0</v>
      </c>
      <c r="CD11" s="80">
        <f t="shared" si="12"/>
        <v>0</v>
      </c>
      <c r="CE11" s="80">
        <f t="shared" si="12"/>
        <v>0</v>
      </c>
      <c r="CF11" s="80">
        <f t="shared" si="12"/>
        <v>0</v>
      </c>
      <c r="CG11" s="87">
        <f t="shared" si="12"/>
        <v>0</v>
      </c>
      <c r="CH11" s="79"/>
    </row>
    <row r="12" spans="1:86" ht="12.75">
      <c r="A12" s="31" t="s">
        <v>94</v>
      </c>
      <c r="B12" s="4">
        <f>Pump_ProjEF</f>
        <v>57</v>
      </c>
      <c r="C12" t="s">
        <v>28</v>
      </c>
      <c r="E12">
        <v>4</v>
      </c>
      <c r="F12" s="9">
        <f>INDEX(Pump_NodeSort,4)</f>
        <v>4</v>
      </c>
      <c r="G12" s="45" t="str">
        <f t="shared" si="7"/>
        <v>C</v>
      </c>
      <c r="H12" s="9" t="str">
        <f t="shared" si="8"/>
        <v>CUT PATH</v>
      </c>
      <c r="I12" s="9">
        <f t="shared" si="0"/>
        <v>30</v>
      </c>
      <c r="J12" s="5">
        <f>O9</f>
        <v>0</v>
      </c>
      <c r="K12" s="4">
        <f t="shared" si="1"/>
        <v>9.666666666666664</v>
      </c>
      <c r="L12" s="29">
        <f t="shared" si="2"/>
        <v>9.666666666666664</v>
      </c>
      <c r="M12" s="36">
        <v>1</v>
      </c>
      <c r="N12" s="5">
        <f t="shared" si="3"/>
        <v>1</v>
      </c>
      <c r="O12" s="29">
        <f t="shared" si="4"/>
        <v>31</v>
      </c>
      <c r="P12" s="9">
        <f>INDEX(Pump_ActRes,3,1)</f>
        <v>6</v>
      </c>
      <c r="Q12" s="70"/>
      <c r="R12" s="81">
        <f aca="true" t="shared" si="13" ref="R12:AW12">IF(AND(Pump_SchedStart&lt;Pump_T,Pump_SchedFinish&gt;=Pump_T),1,0)</f>
        <v>0</v>
      </c>
      <c r="S12" s="80">
        <f t="shared" si="13"/>
        <v>1</v>
      </c>
      <c r="T12" s="80">
        <f t="shared" si="13"/>
        <v>1</v>
      </c>
      <c r="U12" s="80">
        <f t="shared" si="13"/>
        <v>1</v>
      </c>
      <c r="V12" s="80">
        <f t="shared" si="13"/>
        <v>1</v>
      </c>
      <c r="W12" s="80">
        <f t="shared" si="13"/>
        <v>1</v>
      </c>
      <c r="X12" s="80">
        <f t="shared" si="13"/>
        <v>1</v>
      </c>
      <c r="Y12" s="80">
        <f t="shared" si="13"/>
        <v>1</v>
      </c>
      <c r="Z12" s="80">
        <f t="shared" si="13"/>
        <v>1</v>
      </c>
      <c r="AA12" s="80">
        <f t="shared" si="13"/>
        <v>1</v>
      </c>
      <c r="AB12" s="80">
        <f t="shared" si="13"/>
        <v>1</v>
      </c>
      <c r="AC12" s="80">
        <f t="shared" si="13"/>
        <v>1</v>
      </c>
      <c r="AD12" s="80">
        <f t="shared" si="13"/>
        <v>1</v>
      </c>
      <c r="AE12" s="80">
        <f t="shared" si="13"/>
        <v>1</v>
      </c>
      <c r="AF12" s="80">
        <f t="shared" si="13"/>
        <v>1</v>
      </c>
      <c r="AG12" s="80">
        <f t="shared" si="13"/>
        <v>1</v>
      </c>
      <c r="AH12" s="80">
        <f t="shared" si="13"/>
        <v>1</v>
      </c>
      <c r="AI12" s="80">
        <f t="shared" si="13"/>
        <v>1</v>
      </c>
      <c r="AJ12" s="80">
        <f t="shared" si="13"/>
        <v>1</v>
      </c>
      <c r="AK12" s="80">
        <f t="shared" si="13"/>
        <v>1</v>
      </c>
      <c r="AL12" s="80">
        <f t="shared" si="13"/>
        <v>1</v>
      </c>
      <c r="AM12" s="80">
        <f t="shared" si="13"/>
        <v>1</v>
      </c>
      <c r="AN12" s="80">
        <f t="shared" si="13"/>
        <v>1</v>
      </c>
      <c r="AO12" s="80">
        <f t="shared" si="13"/>
        <v>1</v>
      </c>
      <c r="AP12" s="80">
        <f t="shared" si="13"/>
        <v>1</v>
      </c>
      <c r="AQ12" s="80">
        <f t="shared" si="13"/>
        <v>1</v>
      </c>
      <c r="AR12" s="80">
        <f t="shared" si="13"/>
        <v>1</v>
      </c>
      <c r="AS12" s="80">
        <f t="shared" si="13"/>
        <v>1</v>
      </c>
      <c r="AT12" s="80">
        <f t="shared" si="13"/>
        <v>1</v>
      </c>
      <c r="AU12" s="80">
        <f t="shared" si="13"/>
        <v>1</v>
      </c>
      <c r="AV12" s="80">
        <f t="shared" si="13"/>
        <v>1</v>
      </c>
      <c r="AW12" s="80">
        <f t="shared" si="13"/>
        <v>0</v>
      </c>
      <c r="AX12" s="80">
        <f aca="true" t="shared" si="14" ref="AX12:CG12">IF(AND(Pump_SchedStart&lt;Pump_T,Pump_SchedFinish&gt;=Pump_T),1,0)</f>
        <v>0</v>
      </c>
      <c r="AY12" s="80">
        <f t="shared" si="14"/>
        <v>0</v>
      </c>
      <c r="AZ12" s="80">
        <f t="shared" si="14"/>
        <v>0</v>
      </c>
      <c r="BA12" s="80">
        <f t="shared" si="14"/>
        <v>0</v>
      </c>
      <c r="BB12" s="80">
        <f t="shared" si="14"/>
        <v>0</v>
      </c>
      <c r="BC12" s="80">
        <f t="shared" si="14"/>
        <v>0</v>
      </c>
      <c r="BD12" s="80">
        <f t="shared" si="14"/>
        <v>0</v>
      </c>
      <c r="BE12" s="80">
        <f t="shared" si="14"/>
        <v>0</v>
      </c>
      <c r="BF12" s="80">
        <f t="shared" si="14"/>
        <v>0</v>
      </c>
      <c r="BG12" s="80">
        <f t="shared" si="14"/>
        <v>0</v>
      </c>
      <c r="BH12" s="80">
        <f t="shared" si="14"/>
        <v>0</v>
      </c>
      <c r="BI12" s="80">
        <f t="shared" si="14"/>
        <v>0</v>
      </c>
      <c r="BJ12" s="80">
        <f t="shared" si="14"/>
        <v>0</v>
      </c>
      <c r="BK12" s="80">
        <f t="shared" si="14"/>
        <v>0</v>
      </c>
      <c r="BL12" s="80">
        <f t="shared" si="14"/>
        <v>0</v>
      </c>
      <c r="BM12" s="80">
        <f t="shared" si="14"/>
        <v>0</v>
      </c>
      <c r="BN12" s="80">
        <f t="shared" si="14"/>
        <v>0</v>
      </c>
      <c r="BO12" s="80">
        <f t="shared" si="14"/>
        <v>0</v>
      </c>
      <c r="BP12" s="80">
        <f t="shared" si="14"/>
        <v>0</v>
      </c>
      <c r="BQ12" s="80">
        <f t="shared" si="14"/>
        <v>0</v>
      </c>
      <c r="BR12" s="80">
        <f t="shared" si="14"/>
        <v>0</v>
      </c>
      <c r="BS12" s="80">
        <f t="shared" si="14"/>
        <v>0</v>
      </c>
      <c r="BT12" s="80">
        <f t="shared" si="14"/>
        <v>0</v>
      </c>
      <c r="BU12" s="80">
        <f t="shared" si="14"/>
        <v>0</v>
      </c>
      <c r="BV12" s="80">
        <f t="shared" si="14"/>
        <v>0</v>
      </c>
      <c r="BW12" s="80">
        <f t="shared" si="14"/>
        <v>0</v>
      </c>
      <c r="BX12" s="80">
        <f t="shared" si="14"/>
        <v>0</v>
      </c>
      <c r="BY12" s="80">
        <f t="shared" si="14"/>
        <v>0</v>
      </c>
      <c r="BZ12" s="80">
        <f t="shared" si="14"/>
        <v>0</v>
      </c>
      <c r="CA12" s="80">
        <f t="shared" si="14"/>
        <v>0</v>
      </c>
      <c r="CB12" s="80">
        <f t="shared" si="14"/>
        <v>0</v>
      </c>
      <c r="CC12" s="80">
        <f t="shared" si="14"/>
        <v>0</v>
      </c>
      <c r="CD12" s="80">
        <f t="shared" si="14"/>
        <v>0</v>
      </c>
      <c r="CE12" s="80">
        <f t="shared" si="14"/>
        <v>0</v>
      </c>
      <c r="CF12" s="80">
        <f t="shared" si="14"/>
        <v>0</v>
      </c>
      <c r="CG12" s="87">
        <f t="shared" si="14"/>
        <v>0</v>
      </c>
      <c r="CH12" s="79"/>
    </row>
    <row r="13" spans="1:86" ht="12.75">
      <c r="A13" s="31" t="s">
        <v>95</v>
      </c>
      <c r="B13" s="4">
        <f>Pump_LastFinish</f>
        <v>57</v>
      </c>
      <c r="C13" t="s">
        <v>28</v>
      </c>
      <c r="E13">
        <v>5</v>
      </c>
      <c r="F13" s="9">
        <f>INDEX(Pump_NodeSort,5)</f>
        <v>5</v>
      </c>
      <c r="G13" s="45" t="str">
        <f t="shared" si="7"/>
        <v>D</v>
      </c>
      <c r="H13" s="9" t="str">
        <f t="shared" si="8"/>
        <v>CURE SLAB</v>
      </c>
      <c r="I13" s="9">
        <f t="shared" si="0"/>
        <v>24</v>
      </c>
      <c r="J13" s="5">
        <f>O10</f>
        <v>12</v>
      </c>
      <c r="K13" s="4">
        <f t="shared" si="1"/>
        <v>12</v>
      </c>
      <c r="L13" s="29">
        <f t="shared" si="2"/>
        <v>0</v>
      </c>
      <c r="M13" s="36">
        <v>0</v>
      </c>
      <c r="N13" s="5">
        <f t="shared" si="3"/>
        <v>12</v>
      </c>
      <c r="O13" s="29">
        <f t="shared" si="4"/>
        <v>36</v>
      </c>
      <c r="P13" s="9">
        <f>INDEX(Pump_ActRes,4,1)</f>
        <v>0</v>
      </c>
      <c r="Q13" s="71"/>
      <c r="R13" s="81">
        <f aca="true" t="shared" si="15" ref="R13:AW13">IF(AND(Pump_SchedStart&lt;Pump_T,Pump_SchedFinish&gt;=Pump_T),1,0)</f>
        <v>0</v>
      </c>
      <c r="S13" s="80">
        <f t="shared" si="15"/>
        <v>0</v>
      </c>
      <c r="T13" s="80">
        <f t="shared" si="15"/>
        <v>0</v>
      </c>
      <c r="U13" s="80">
        <f t="shared" si="15"/>
        <v>0</v>
      </c>
      <c r="V13" s="80">
        <f t="shared" si="15"/>
        <v>0</v>
      </c>
      <c r="W13" s="80">
        <f t="shared" si="15"/>
        <v>0</v>
      </c>
      <c r="X13" s="80">
        <f t="shared" si="15"/>
        <v>0</v>
      </c>
      <c r="Y13" s="80">
        <f t="shared" si="15"/>
        <v>0</v>
      </c>
      <c r="Z13" s="80">
        <f t="shared" si="15"/>
        <v>0</v>
      </c>
      <c r="AA13" s="80">
        <f t="shared" si="15"/>
        <v>0</v>
      </c>
      <c r="AB13" s="80">
        <f t="shared" si="15"/>
        <v>0</v>
      </c>
      <c r="AC13" s="80">
        <f t="shared" si="15"/>
        <v>0</v>
      </c>
      <c r="AD13" s="80">
        <f t="shared" si="15"/>
        <v>1</v>
      </c>
      <c r="AE13" s="80">
        <f t="shared" si="15"/>
        <v>1</v>
      </c>
      <c r="AF13" s="80">
        <f t="shared" si="15"/>
        <v>1</v>
      </c>
      <c r="AG13" s="80">
        <f t="shared" si="15"/>
        <v>1</v>
      </c>
      <c r="AH13" s="80">
        <f t="shared" si="15"/>
        <v>1</v>
      </c>
      <c r="AI13" s="80">
        <f t="shared" si="15"/>
        <v>1</v>
      </c>
      <c r="AJ13" s="80">
        <f t="shared" si="15"/>
        <v>1</v>
      </c>
      <c r="AK13" s="80">
        <f t="shared" si="15"/>
        <v>1</v>
      </c>
      <c r="AL13" s="80">
        <f t="shared" si="15"/>
        <v>1</v>
      </c>
      <c r="AM13" s="80">
        <f t="shared" si="15"/>
        <v>1</v>
      </c>
      <c r="AN13" s="80">
        <f t="shared" si="15"/>
        <v>1</v>
      </c>
      <c r="AO13" s="80">
        <f t="shared" si="15"/>
        <v>1</v>
      </c>
      <c r="AP13" s="80">
        <f t="shared" si="15"/>
        <v>1</v>
      </c>
      <c r="AQ13" s="80">
        <f t="shared" si="15"/>
        <v>1</v>
      </c>
      <c r="AR13" s="80">
        <f t="shared" si="15"/>
        <v>1</v>
      </c>
      <c r="AS13" s="80">
        <f t="shared" si="15"/>
        <v>1</v>
      </c>
      <c r="AT13" s="80">
        <f t="shared" si="15"/>
        <v>1</v>
      </c>
      <c r="AU13" s="80">
        <f t="shared" si="15"/>
        <v>1</v>
      </c>
      <c r="AV13" s="80">
        <f t="shared" si="15"/>
        <v>1</v>
      </c>
      <c r="AW13" s="80">
        <f t="shared" si="15"/>
        <v>1</v>
      </c>
      <c r="AX13" s="80">
        <f aca="true" t="shared" si="16" ref="AX13:CG13">IF(AND(Pump_SchedStart&lt;Pump_T,Pump_SchedFinish&gt;=Pump_T),1,0)</f>
        <v>1</v>
      </c>
      <c r="AY13" s="80">
        <f t="shared" si="16"/>
        <v>1</v>
      </c>
      <c r="AZ13" s="80">
        <f t="shared" si="16"/>
        <v>1</v>
      </c>
      <c r="BA13" s="80">
        <f t="shared" si="16"/>
        <v>1</v>
      </c>
      <c r="BB13" s="80">
        <f t="shared" si="16"/>
        <v>0</v>
      </c>
      <c r="BC13" s="80">
        <f t="shared" si="16"/>
        <v>0</v>
      </c>
      <c r="BD13" s="80">
        <f t="shared" si="16"/>
        <v>0</v>
      </c>
      <c r="BE13" s="80">
        <f t="shared" si="16"/>
        <v>0</v>
      </c>
      <c r="BF13" s="80">
        <f t="shared" si="16"/>
        <v>0</v>
      </c>
      <c r="BG13" s="80">
        <f t="shared" si="16"/>
        <v>0</v>
      </c>
      <c r="BH13" s="80">
        <f t="shared" si="16"/>
        <v>0</v>
      </c>
      <c r="BI13" s="80">
        <f t="shared" si="16"/>
        <v>0</v>
      </c>
      <c r="BJ13" s="80">
        <f t="shared" si="16"/>
        <v>0</v>
      </c>
      <c r="BK13" s="80">
        <f t="shared" si="16"/>
        <v>0</v>
      </c>
      <c r="BL13" s="80">
        <f t="shared" si="16"/>
        <v>0</v>
      </c>
      <c r="BM13" s="80">
        <f t="shared" si="16"/>
        <v>0</v>
      </c>
      <c r="BN13" s="80">
        <f t="shared" si="16"/>
        <v>0</v>
      </c>
      <c r="BO13" s="80">
        <f t="shared" si="16"/>
        <v>0</v>
      </c>
      <c r="BP13" s="80">
        <f t="shared" si="16"/>
        <v>0</v>
      </c>
      <c r="BQ13" s="80">
        <f t="shared" si="16"/>
        <v>0</v>
      </c>
      <c r="BR13" s="80">
        <f t="shared" si="16"/>
        <v>0</v>
      </c>
      <c r="BS13" s="80">
        <f t="shared" si="16"/>
        <v>0</v>
      </c>
      <c r="BT13" s="80">
        <f t="shared" si="16"/>
        <v>0</v>
      </c>
      <c r="BU13" s="80">
        <f t="shared" si="16"/>
        <v>0</v>
      </c>
      <c r="BV13" s="80">
        <f t="shared" si="16"/>
        <v>0</v>
      </c>
      <c r="BW13" s="80">
        <f t="shared" si="16"/>
        <v>0</v>
      </c>
      <c r="BX13" s="80">
        <f t="shared" si="16"/>
        <v>0</v>
      </c>
      <c r="BY13" s="80">
        <f t="shared" si="16"/>
        <v>0</v>
      </c>
      <c r="BZ13" s="80">
        <f t="shared" si="16"/>
        <v>0</v>
      </c>
      <c r="CA13" s="80">
        <f t="shared" si="16"/>
        <v>0</v>
      </c>
      <c r="CB13" s="80">
        <f t="shared" si="16"/>
        <v>0</v>
      </c>
      <c r="CC13" s="80">
        <f t="shared" si="16"/>
        <v>0</v>
      </c>
      <c r="CD13" s="80">
        <f t="shared" si="16"/>
        <v>0</v>
      </c>
      <c r="CE13" s="80">
        <f t="shared" si="16"/>
        <v>0</v>
      </c>
      <c r="CF13" s="80">
        <f t="shared" si="16"/>
        <v>0</v>
      </c>
      <c r="CG13" s="87">
        <f t="shared" si="16"/>
        <v>0</v>
      </c>
      <c r="CH13" s="79"/>
    </row>
    <row r="14" spans="1:86" ht="12.75">
      <c r="A14" s="31"/>
      <c r="B14" s="38"/>
      <c r="C14" s="38" t="s">
        <v>86</v>
      </c>
      <c r="D14" s="38" t="s">
        <v>86</v>
      </c>
      <c r="E14">
        <v>6</v>
      </c>
      <c r="F14" s="9">
        <f>INDEX(Pump_NodeSort,6)</f>
        <v>6</v>
      </c>
      <c r="G14" s="45" t="str">
        <f t="shared" si="7"/>
        <v>E</v>
      </c>
      <c r="H14" s="9" t="str">
        <f t="shared" si="8"/>
        <v>DELIVER UNIT</v>
      </c>
      <c r="I14" s="9">
        <f t="shared" si="0"/>
        <v>8</v>
      </c>
      <c r="J14" s="5">
        <f>O11</f>
        <v>0.25</v>
      </c>
      <c r="K14" s="4">
        <f t="shared" si="1"/>
        <v>28</v>
      </c>
      <c r="L14" s="29">
        <f t="shared" si="2"/>
        <v>27.75</v>
      </c>
      <c r="M14" s="36">
        <v>0</v>
      </c>
      <c r="N14" s="5">
        <f t="shared" si="3"/>
        <v>0.25</v>
      </c>
      <c r="O14" s="29">
        <f t="shared" si="4"/>
        <v>8.25</v>
      </c>
      <c r="P14" s="9">
        <f>INDEX(Pump_ActRes,5,1)</f>
        <v>0</v>
      </c>
      <c r="Q14" s="72"/>
      <c r="R14" s="81">
        <f aca="true" t="shared" si="17" ref="R14:AW14">IF(AND(Pump_SchedStart&lt;Pump_T,Pump_SchedFinish&gt;=Pump_T),1,0)</f>
        <v>1</v>
      </c>
      <c r="S14" s="80">
        <f t="shared" si="17"/>
        <v>1</v>
      </c>
      <c r="T14" s="80">
        <f t="shared" si="17"/>
        <v>1</v>
      </c>
      <c r="U14" s="80">
        <f t="shared" si="17"/>
        <v>1</v>
      </c>
      <c r="V14" s="80">
        <f t="shared" si="17"/>
        <v>1</v>
      </c>
      <c r="W14" s="80">
        <f t="shared" si="17"/>
        <v>1</v>
      </c>
      <c r="X14" s="80">
        <f t="shared" si="17"/>
        <v>1</v>
      </c>
      <c r="Y14" s="80">
        <f t="shared" si="17"/>
        <v>1</v>
      </c>
      <c r="Z14" s="80">
        <f t="shared" si="17"/>
        <v>0</v>
      </c>
      <c r="AA14" s="80">
        <f t="shared" si="17"/>
        <v>0</v>
      </c>
      <c r="AB14" s="80">
        <f t="shared" si="17"/>
        <v>0</v>
      </c>
      <c r="AC14" s="80">
        <f t="shared" si="17"/>
        <v>0</v>
      </c>
      <c r="AD14" s="80">
        <f t="shared" si="17"/>
        <v>0</v>
      </c>
      <c r="AE14" s="80">
        <f t="shared" si="17"/>
        <v>0</v>
      </c>
      <c r="AF14" s="80">
        <f t="shared" si="17"/>
        <v>0</v>
      </c>
      <c r="AG14" s="80">
        <f t="shared" si="17"/>
        <v>0</v>
      </c>
      <c r="AH14" s="80">
        <f t="shared" si="17"/>
        <v>0</v>
      </c>
      <c r="AI14" s="80">
        <f t="shared" si="17"/>
        <v>0</v>
      </c>
      <c r="AJ14" s="80">
        <f t="shared" si="17"/>
        <v>0</v>
      </c>
      <c r="AK14" s="80">
        <f t="shared" si="17"/>
        <v>0</v>
      </c>
      <c r="AL14" s="80">
        <f t="shared" si="17"/>
        <v>0</v>
      </c>
      <c r="AM14" s="80">
        <f t="shared" si="17"/>
        <v>0</v>
      </c>
      <c r="AN14" s="80">
        <f t="shared" si="17"/>
        <v>0</v>
      </c>
      <c r="AO14" s="80">
        <f t="shared" si="17"/>
        <v>0</v>
      </c>
      <c r="AP14" s="80">
        <f t="shared" si="17"/>
        <v>0</v>
      </c>
      <c r="AQ14" s="80">
        <f t="shared" si="17"/>
        <v>0</v>
      </c>
      <c r="AR14" s="80">
        <f t="shared" si="17"/>
        <v>0</v>
      </c>
      <c r="AS14" s="80">
        <f t="shared" si="17"/>
        <v>0</v>
      </c>
      <c r="AT14" s="80">
        <f t="shared" si="17"/>
        <v>0</v>
      </c>
      <c r="AU14" s="80">
        <f t="shared" si="17"/>
        <v>0</v>
      </c>
      <c r="AV14" s="80">
        <f t="shared" si="17"/>
        <v>0</v>
      </c>
      <c r="AW14" s="80">
        <f t="shared" si="17"/>
        <v>0</v>
      </c>
      <c r="AX14" s="80">
        <f aca="true" t="shared" si="18" ref="AX14:CG14">IF(AND(Pump_SchedStart&lt;Pump_T,Pump_SchedFinish&gt;=Pump_T),1,0)</f>
        <v>0</v>
      </c>
      <c r="AY14" s="80">
        <f t="shared" si="18"/>
        <v>0</v>
      </c>
      <c r="AZ14" s="80">
        <f t="shared" si="18"/>
        <v>0</v>
      </c>
      <c r="BA14" s="80">
        <f t="shared" si="18"/>
        <v>0</v>
      </c>
      <c r="BB14" s="80">
        <f t="shared" si="18"/>
        <v>0</v>
      </c>
      <c r="BC14" s="80">
        <f t="shared" si="18"/>
        <v>0</v>
      </c>
      <c r="BD14" s="80">
        <f t="shared" si="18"/>
        <v>0</v>
      </c>
      <c r="BE14" s="80">
        <f t="shared" si="18"/>
        <v>0</v>
      </c>
      <c r="BF14" s="80">
        <f t="shared" si="18"/>
        <v>0</v>
      </c>
      <c r="BG14" s="80">
        <f t="shared" si="18"/>
        <v>0</v>
      </c>
      <c r="BH14" s="80">
        <f t="shared" si="18"/>
        <v>0</v>
      </c>
      <c r="BI14" s="80">
        <f t="shared" si="18"/>
        <v>0</v>
      </c>
      <c r="BJ14" s="80">
        <f t="shared" si="18"/>
        <v>0</v>
      </c>
      <c r="BK14" s="80">
        <f t="shared" si="18"/>
        <v>0</v>
      </c>
      <c r="BL14" s="80">
        <f t="shared" si="18"/>
        <v>0</v>
      </c>
      <c r="BM14" s="80">
        <f t="shared" si="18"/>
        <v>0</v>
      </c>
      <c r="BN14" s="80">
        <f t="shared" si="18"/>
        <v>0</v>
      </c>
      <c r="BO14" s="80">
        <f t="shared" si="18"/>
        <v>0</v>
      </c>
      <c r="BP14" s="80">
        <f t="shared" si="18"/>
        <v>0</v>
      </c>
      <c r="BQ14" s="80">
        <f t="shared" si="18"/>
        <v>0</v>
      </c>
      <c r="BR14" s="80">
        <f t="shared" si="18"/>
        <v>0</v>
      </c>
      <c r="BS14" s="80">
        <f t="shared" si="18"/>
        <v>0</v>
      </c>
      <c r="BT14" s="80">
        <f t="shared" si="18"/>
        <v>0</v>
      </c>
      <c r="BU14" s="80">
        <f t="shared" si="18"/>
        <v>0</v>
      </c>
      <c r="BV14" s="80">
        <f t="shared" si="18"/>
        <v>0</v>
      </c>
      <c r="BW14" s="80">
        <f t="shared" si="18"/>
        <v>0</v>
      </c>
      <c r="BX14" s="80">
        <f t="shared" si="18"/>
        <v>0</v>
      </c>
      <c r="BY14" s="80">
        <f t="shared" si="18"/>
        <v>0</v>
      </c>
      <c r="BZ14" s="80">
        <f t="shared" si="18"/>
        <v>0</v>
      </c>
      <c r="CA14" s="80">
        <f t="shared" si="18"/>
        <v>0</v>
      </c>
      <c r="CB14" s="80">
        <f t="shared" si="18"/>
        <v>0</v>
      </c>
      <c r="CC14" s="80">
        <f t="shared" si="18"/>
        <v>0</v>
      </c>
      <c r="CD14" s="80">
        <f t="shared" si="18"/>
        <v>0</v>
      </c>
      <c r="CE14" s="80">
        <f t="shared" si="18"/>
        <v>0</v>
      </c>
      <c r="CF14" s="80">
        <f t="shared" si="18"/>
        <v>0</v>
      </c>
      <c r="CG14" s="87">
        <f t="shared" si="18"/>
        <v>0</v>
      </c>
      <c r="CH14" s="79"/>
    </row>
    <row r="15" spans="1:86" ht="12.75">
      <c r="A15" s="66" t="s">
        <v>31</v>
      </c>
      <c r="B15" s="38" t="s">
        <v>96</v>
      </c>
      <c r="C15" s="38" t="s">
        <v>97</v>
      </c>
      <c r="D15" s="38" t="s">
        <v>98</v>
      </c>
      <c r="E15">
        <v>7</v>
      </c>
      <c r="F15" s="9">
        <f>INDEX(Pump_NodeSort,7)</f>
        <v>7</v>
      </c>
      <c r="G15" s="45" t="str">
        <f t="shared" si="7"/>
        <v>F</v>
      </c>
      <c r="H15" s="9" t="str">
        <f t="shared" si="8"/>
        <v>RUN FLOW LINE</v>
      </c>
      <c r="I15" s="9">
        <f t="shared" si="0"/>
        <v>11.333333333333334</v>
      </c>
      <c r="J15" s="5">
        <f>O12</f>
        <v>31</v>
      </c>
      <c r="K15" s="4">
        <f t="shared" si="1"/>
        <v>39.666666666666664</v>
      </c>
      <c r="L15" s="29">
        <f t="shared" si="2"/>
        <v>8.666666666666664</v>
      </c>
      <c r="M15" s="36">
        <v>0</v>
      </c>
      <c r="N15" s="5">
        <f t="shared" si="3"/>
        <v>31</v>
      </c>
      <c r="O15" s="29">
        <f t="shared" si="4"/>
        <v>42.333333333333336</v>
      </c>
      <c r="P15" s="9">
        <f>INDEX(Pump_ActRes,6,1)</f>
        <v>6</v>
      </c>
      <c r="Q15" s="73"/>
      <c r="R15" s="81">
        <f aca="true" t="shared" si="19" ref="R15:AW15">IF(AND(Pump_SchedStart&lt;Pump_T,Pump_SchedFinish&gt;=Pump_T),1,0)</f>
        <v>0</v>
      </c>
      <c r="S15" s="80">
        <f t="shared" si="19"/>
        <v>0</v>
      </c>
      <c r="T15" s="80">
        <f t="shared" si="19"/>
        <v>0</v>
      </c>
      <c r="U15" s="80">
        <f t="shared" si="19"/>
        <v>0</v>
      </c>
      <c r="V15" s="80">
        <f t="shared" si="19"/>
        <v>0</v>
      </c>
      <c r="W15" s="80">
        <f t="shared" si="19"/>
        <v>0</v>
      </c>
      <c r="X15" s="80">
        <f t="shared" si="19"/>
        <v>0</v>
      </c>
      <c r="Y15" s="80">
        <f t="shared" si="19"/>
        <v>0</v>
      </c>
      <c r="Z15" s="80">
        <f t="shared" si="19"/>
        <v>0</v>
      </c>
      <c r="AA15" s="80">
        <f t="shared" si="19"/>
        <v>0</v>
      </c>
      <c r="AB15" s="80">
        <f t="shared" si="19"/>
        <v>0</v>
      </c>
      <c r="AC15" s="80">
        <f t="shared" si="19"/>
        <v>0</v>
      </c>
      <c r="AD15" s="80">
        <f t="shared" si="19"/>
        <v>0</v>
      </c>
      <c r="AE15" s="80">
        <f t="shared" si="19"/>
        <v>0</v>
      </c>
      <c r="AF15" s="80">
        <f t="shared" si="19"/>
        <v>0</v>
      </c>
      <c r="AG15" s="80">
        <f t="shared" si="19"/>
        <v>0</v>
      </c>
      <c r="AH15" s="80">
        <f t="shared" si="19"/>
        <v>0</v>
      </c>
      <c r="AI15" s="80">
        <f t="shared" si="19"/>
        <v>0</v>
      </c>
      <c r="AJ15" s="80">
        <f t="shared" si="19"/>
        <v>0</v>
      </c>
      <c r="AK15" s="80">
        <f t="shared" si="19"/>
        <v>0</v>
      </c>
      <c r="AL15" s="80">
        <f t="shared" si="19"/>
        <v>0</v>
      </c>
      <c r="AM15" s="80">
        <f t="shared" si="19"/>
        <v>0</v>
      </c>
      <c r="AN15" s="80">
        <f t="shared" si="19"/>
        <v>0</v>
      </c>
      <c r="AO15" s="80">
        <f t="shared" si="19"/>
        <v>0</v>
      </c>
      <c r="AP15" s="80">
        <f t="shared" si="19"/>
        <v>0</v>
      </c>
      <c r="AQ15" s="80">
        <f t="shared" si="19"/>
        <v>0</v>
      </c>
      <c r="AR15" s="80">
        <f t="shared" si="19"/>
        <v>0</v>
      </c>
      <c r="AS15" s="80">
        <f t="shared" si="19"/>
        <v>0</v>
      </c>
      <c r="AT15" s="80">
        <f t="shared" si="19"/>
        <v>0</v>
      </c>
      <c r="AU15" s="80">
        <f t="shared" si="19"/>
        <v>0</v>
      </c>
      <c r="AV15" s="80">
        <f t="shared" si="19"/>
        <v>0</v>
      </c>
      <c r="AW15" s="80">
        <f t="shared" si="19"/>
        <v>1</v>
      </c>
      <c r="AX15" s="80">
        <f aca="true" t="shared" si="20" ref="AX15:CG15">IF(AND(Pump_SchedStart&lt;Pump_T,Pump_SchedFinish&gt;=Pump_T),1,0)</f>
        <v>1</v>
      </c>
      <c r="AY15" s="80">
        <f t="shared" si="20"/>
        <v>1</v>
      </c>
      <c r="AZ15" s="80">
        <f t="shared" si="20"/>
        <v>1</v>
      </c>
      <c r="BA15" s="80">
        <f t="shared" si="20"/>
        <v>1</v>
      </c>
      <c r="BB15" s="80">
        <f t="shared" si="20"/>
        <v>1</v>
      </c>
      <c r="BC15" s="80">
        <f t="shared" si="20"/>
        <v>1</v>
      </c>
      <c r="BD15" s="80">
        <f t="shared" si="20"/>
        <v>1</v>
      </c>
      <c r="BE15" s="80">
        <f t="shared" si="20"/>
        <v>1</v>
      </c>
      <c r="BF15" s="80">
        <f t="shared" si="20"/>
        <v>1</v>
      </c>
      <c r="BG15" s="80">
        <f t="shared" si="20"/>
        <v>1</v>
      </c>
      <c r="BH15" s="80">
        <f t="shared" si="20"/>
        <v>0</v>
      </c>
      <c r="BI15" s="80">
        <f t="shared" si="20"/>
        <v>0</v>
      </c>
      <c r="BJ15" s="80">
        <f t="shared" si="20"/>
        <v>0</v>
      </c>
      <c r="BK15" s="80">
        <f t="shared" si="20"/>
        <v>0</v>
      </c>
      <c r="BL15" s="80">
        <f t="shared" si="20"/>
        <v>0</v>
      </c>
      <c r="BM15" s="80">
        <f t="shared" si="20"/>
        <v>0</v>
      </c>
      <c r="BN15" s="80">
        <f t="shared" si="20"/>
        <v>0</v>
      </c>
      <c r="BO15" s="80">
        <f t="shared" si="20"/>
        <v>0</v>
      </c>
      <c r="BP15" s="80">
        <f t="shared" si="20"/>
        <v>0</v>
      </c>
      <c r="BQ15" s="80">
        <f t="shared" si="20"/>
        <v>0</v>
      </c>
      <c r="BR15" s="80">
        <f t="shared" si="20"/>
        <v>0</v>
      </c>
      <c r="BS15" s="80">
        <f t="shared" si="20"/>
        <v>0</v>
      </c>
      <c r="BT15" s="80">
        <f t="shared" si="20"/>
        <v>0</v>
      </c>
      <c r="BU15" s="80">
        <f t="shared" si="20"/>
        <v>0</v>
      </c>
      <c r="BV15" s="80">
        <f t="shared" si="20"/>
        <v>0</v>
      </c>
      <c r="BW15" s="80">
        <f t="shared" si="20"/>
        <v>0</v>
      </c>
      <c r="BX15" s="80">
        <f t="shared" si="20"/>
        <v>0</v>
      </c>
      <c r="BY15" s="80">
        <f t="shared" si="20"/>
        <v>0</v>
      </c>
      <c r="BZ15" s="80">
        <f t="shared" si="20"/>
        <v>0</v>
      </c>
      <c r="CA15" s="80">
        <f t="shared" si="20"/>
        <v>0</v>
      </c>
      <c r="CB15" s="80">
        <f t="shared" si="20"/>
        <v>0</v>
      </c>
      <c r="CC15" s="80">
        <f t="shared" si="20"/>
        <v>0</v>
      </c>
      <c r="CD15" s="80">
        <f t="shared" si="20"/>
        <v>0</v>
      </c>
      <c r="CE15" s="80">
        <f t="shared" si="20"/>
        <v>0</v>
      </c>
      <c r="CF15" s="80">
        <f t="shared" si="20"/>
        <v>0</v>
      </c>
      <c r="CG15" s="87">
        <f t="shared" si="20"/>
        <v>0</v>
      </c>
      <c r="CH15" s="79"/>
    </row>
    <row r="16" spans="1:86" ht="12.75">
      <c r="A16" s="31" t="str">
        <f>INDEX(Pump_ActResName,1)</f>
        <v>Crew</v>
      </c>
      <c r="B16" s="11">
        <v>8</v>
      </c>
      <c r="C16" s="11">
        <v>1</v>
      </c>
      <c r="D16" s="4">
        <f>SUM($R$30:$CG$30)*Pump_Bucket</f>
        <v>31</v>
      </c>
      <c r="E16">
        <v>8</v>
      </c>
      <c r="F16" s="9">
        <f>INDEX(Pump_NodeSort,8)</f>
        <v>8</v>
      </c>
      <c r="G16" s="45" t="str">
        <f t="shared" si="7"/>
        <v>G</v>
      </c>
      <c r="H16" s="9" t="str">
        <f t="shared" si="8"/>
        <v>RUN ELECTRIC LINE</v>
      </c>
      <c r="I16" s="9">
        <f t="shared" si="0"/>
        <v>10</v>
      </c>
      <c r="J16" s="5">
        <f>O12</f>
        <v>31</v>
      </c>
      <c r="K16" s="4">
        <f t="shared" si="1"/>
        <v>41</v>
      </c>
      <c r="L16" s="29">
        <f t="shared" si="2"/>
        <v>10</v>
      </c>
      <c r="M16" s="36">
        <v>10</v>
      </c>
      <c r="N16" s="5">
        <f t="shared" si="3"/>
        <v>41</v>
      </c>
      <c r="O16" s="29">
        <f t="shared" si="4"/>
        <v>51</v>
      </c>
      <c r="P16" s="9">
        <f>INDEX(Pump_ActRes,7,1)</f>
        <v>3</v>
      </c>
      <c r="Q16" s="74"/>
      <c r="R16" s="81">
        <f aca="true" t="shared" si="21" ref="R16:AW16">IF(AND(Pump_SchedStart&lt;Pump_T,Pump_SchedFinish&gt;=Pump_T),1,0)</f>
        <v>0</v>
      </c>
      <c r="S16" s="80">
        <f t="shared" si="21"/>
        <v>0</v>
      </c>
      <c r="T16" s="80">
        <f t="shared" si="21"/>
        <v>0</v>
      </c>
      <c r="U16" s="80">
        <f t="shared" si="21"/>
        <v>0</v>
      </c>
      <c r="V16" s="80">
        <f t="shared" si="21"/>
        <v>0</v>
      </c>
      <c r="W16" s="80">
        <f t="shared" si="21"/>
        <v>0</v>
      </c>
      <c r="X16" s="80">
        <f t="shared" si="21"/>
        <v>0</v>
      </c>
      <c r="Y16" s="80">
        <f t="shared" si="21"/>
        <v>0</v>
      </c>
      <c r="Z16" s="80">
        <f t="shared" si="21"/>
        <v>0</v>
      </c>
      <c r="AA16" s="80">
        <f t="shared" si="21"/>
        <v>0</v>
      </c>
      <c r="AB16" s="80">
        <f t="shared" si="21"/>
        <v>0</v>
      </c>
      <c r="AC16" s="80">
        <f t="shared" si="21"/>
        <v>0</v>
      </c>
      <c r="AD16" s="80">
        <f t="shared" si="21"/>
        <v>0</v>
      </c>
      <c r="AE16" s="80">
        <f t="shared" si="21"/>
        <v>0</v>
      </c>
      <c r="AF16" s="80">
        <f t="shared" si="21"/>
        <v>0</v>
      </c>
      <c r="AG16" s="80">
        <f t="shared" si="21"/>
        <v>0</v>
      </c>
      <c r="AH16" s="80">
        <f t="shared" si="21"/>
        <v>0</v>
      </c>
      <c r="AI16" s="80">
        <f t="shared" si="21"/>
        <v>0</v>
      </c>
      <c r="AJ16" s="80">
        <f t="shared" si="21"/>
        <v>0</v>
      </c>
      <c r="AK16" s="80">
        <f t="shared" si="21"/>
        <v>0</v>
      </c>
      <c r="AL16" s="80">
        <f t="shared" si="21"/>
        <v>0</v>
      </c>
      <c r="AM16" s="80">
        <f t="shared" si="21"/>
        <v>0</v>
      </c>
      <c r="AN16" s="80">
        <f t="shared" si="21"/>
        <v>0</v>
      </c>
      <c r="AO16" s="80">
        <f t="shared" si="21"/>
        <v>0</v>
      </c>
      <c r="AP16" s="80">
        <f t="shared" si="21"/>
        <v>0</v>
      </c>
      <c r="AQ16" s="80">
        <f t="shared" si="21"/>
        <v>0</v>
      </c>
      <c r="AR16" s="80">
        <f t="shared" si="21"/>
        <v>0</v>
      </c>
      <c r="AS16" s="80">
        <f t="shared" si="21"/>
        <v>0</v>
      </c>
      <c r="AT16" s="80">
        <f t="shared" si="21"/>
        <v>0</v>
      </c>
      <c r="AU16" s="80">
        <f t="shared" si="21"/>
        <v>0</v>
      </c>
      <c r="AV16" s="80">
        <f t="shared" si="21"/>
        <v>0</v>
      </c>
      <c r="AW16" s="80">
        <f t="shared" si="21"/>
        <v>0</v>
      </c>
      <c r="AX16" s="80">
        <f aca="true" t="shared" si="22" ref="AX16:CG16">IF(AND(Pump_SchedStart&lt;Pump_T,Pump_SchedFinish&gt;=Pump_T),1,0)</f>
        <v>0</v>
      </c>
      <c r="AY16" s="80">
        <f t="shared" si="22"/>
        <v>0</v>
      </c>
      <c r="AZ16" s="80">
        <f t="shared" si="22"/>
        <v>0</v>
      </c>
      <c r="BA16" s="80">
        <f t="shared" si="22"/>
        <v>0</v>
      </c>
      <c r="BB16" s="80">
        <f t="shared" si="22"/>
        <v>0</v>
      </c>
      <c r="BC16" s="80">
        <f t="shared" si="22"/>
        <v>0</v>
      </c>
      <c r="BD16" s="80">
        <f t="shared" si="22"/>
        <v>0</v>
      </c>
      <c r="BE16" s="80">
        <f t="shared" si="22"/>
        <v>0</v>
      </c>
      <c r="BF16" s="80">
        <f t="shared" si="22"/>
        <v>0</v>
      </c>
      <c r="BG16" s="80">
        <f t="shared" si="22"/>
        <v>1</v>
      </c>
      <c r="BH16" s="80">
        <f t="shared" si="22"/>
        <v>1</v>
      </c>
      <c r="BI16" s="80">
        <f t="shared" si="22"/>
        <v>1</v>
      </c>
      <c r="BJ16" s="80">
        <f t="shared" si="22"/>
        <v>1</v>
      </c>
      <c r="BK16" s="80">
        <f t="shared" si="22"/>
        <v>1</v>
      </c>
      <c r="BL16" s="80">
        <f t="shared" si="22"/>
        <v>1</v>
      </c>
      <c r="BM16" s="80">
        <f t="shared" si="22"/>
        <v>1</v>
      </c>
      <c r="BN16" s="80">
        <f t="shared" si="22"/>
        <v>1</v>
      </c>
      <c r="BO16" s="80">
        <f t="shared" si="22"/>
        <v>1</v>
      </c>
      <c r="BP16" s="80">
        <f t="shared" si="22"/>
        <v>1</v>
      </c>
      <c r="BQ16" s="80">
        <f t="shared" si="22"/>
        <v>0</v>
      </c>
      <c r="BR16" s="80">
        <f t="shared" si="22"/>
        <v>0</v>
      </c>
      <c r="BS16" s="80">
        <f t="shared" si="22"/>
        <v>0</v>
      </c>
      <c r="BT16" s="80">
        <f t="shared" si="22"/>
        <v>0</v>
      </c>
      <c r="BU16" s="80">
        <f t="shared" si="22"/>
        <v>0</v>
      </c>
      <c r="BV16" s="80">
        <f t="shared" si="22"/>
        <v>0</v>
      </c>
      <c r="BW16" s="80">
        <f t="shared" si="22"/>
        <v>0</v>
      </c>
      <c r="BX16" s="80">
        <f t="shared" si="22"/>
        <v>0</v>
      </c>
      <c r="BY16" s="80">
        <f t="shared" si="22"/>
        <v>0</v>
      </c>
      <c r="BZ16" s="80">
        <f t="shared" si="22"/>
        <v>0</v>
      </c>
      <c r="CA16" s="80">
        <f t="shared" si="22"/>
        <v>0</v>
      </c>
      <c r="CB16" s="80">
        <f t="shared" si="22"/>
        <v>0</v>
      </c>
      <c r="CC16" s="80">
        <f t="shared" si="22"/>
        <v>0</v>
      </c>
      <c r="CD16" s="80">
        <f t="shared" si="22"/>
        <v>0</v>
      </c>
      <c r="CE16" s="80">
        <f t="shared" si="22"/>
        <v>0</v>
      </c>
      <c r="CF16" s="80">
        <f t="shared" si="22"/>
        <v>0</v>
      </c>
      <c r="CG16" s="87">
        <f t="shared" si="22"/>
        <v>0</v>
      </c>
      <c r="CH16" s="79"/>
    </row>
    <row r="17" spans="1:86" ht="12.75">
      <c r="A17" s="31"/>
      <c r="E17">
        <v>9</v>
      </c>
      <c r="F17" s="9">
        <f>INDEX(Pump_NodeSort,9)</f>
        <v>9</v>
      </c>
      <c r="G17" s="45" t="str">
        <f t="shared" si="7"/>
        <v>H</v>
      </c>
      <c r="H17" s="9" t="str">
        <f t="shared" si="8"/>
        <v>MOUNT UNIT</v>
      </c>
      <c r="I17" s="9">
        <f t="shared" si="0"/>
        <v>6</v>
      </c>
      <c r="J17" s="5">
        <f>MAX(O13,O14)</f>
        <v>36</v>
      </c>
      <c r="K17" s="4">
        <f t="shared" si="1"/>
        <v>36</v>
      </c>
      <c r="L17" s="29">
        <f t="shared" si="2"/>
        <v>0</v>
      </c>
      <c r="M17" s="36">
        <v>0</v>
      </c>
      <c r="N17" s="5">
        <f t="shared" si="3"/>
        <v>36</v>
      </c>
      <c r="O17" s="29">
        <f t="shared" si="4"/>
        <v>42</v>
      </c>
      <c r="P17" s="9">
        <f>INDEX(Pump_ActRes,8,1)</f>
        <v>3</v>
      </c>
      <c r="Q17" s="75"/>
      <c r="R17" s="81">
        <f aca="true" t="shared" si="23" ref="R17:AW17">IF(AND(Pump_SchedStart&lt;Pump_T,Pump_SchedFinish&gt;=Pump_T),1,0)</f>
        <v>0</v>
      </c>
      <c r="S17" s="80">
        <f t="shared" si="23"/>
        <v>0</v>
      </c>
      <c r="T17" s="80">
        <f t="shared" si="23"/>
        <v>0</v>
      </c>
      <c r="U17" s="80">
        <f t="shared" si="23"/>
        <v>0</v>
      </c>
      <c r="V17" s="80">
        <f t="shared" si="23"/>
        <v>0</v>
      </c>
      <c r="W17" s="80">
        <f t="shared" si="23"/>
        <v>0</v>
      </c>
      <c r="X17" s="80">
        <f t="shared" si="23"/>
        <v>0</v>
      </c>
      <c r="Y17" s="80">
        <f t="shared" si="23"/>
        <v>0</v>
      </c>
      <c r="Z17" s="80">
        <f t="shared" si="23"/>
        <v>0</v>
      </c>
      <c r="AA17" s="80">
        <f t="shared" si="23"/>
        <v>0</v>
      </c>
      <c r="AB17" s="80">
        <f t="shared" si="23"/>
        <v>0</v>
      </c>
      <c r="AC17" s="80">
        <f t="shared" si="23"/>
        <v>0</v>
      </c>
      <c r="AD17" s="80">
        <f t="shared" si="23"/>
        <v>0</v>
      </c>
      <c r="AE17" s="80">
        <f t="shared" si="23"/>
        <v>0</v>
      </c>
      <c r="AF17" s="80">
        <f t="shared" si="23"/>
        <v>0</v>
      </c>
      <c r="AG17" s="80">
        <f t="shared" si="23"/>
        <v>0</v>
      </c>
      <c r="AH17" s="80">
        <f t="shared" si="23"/>
        <v>0</v>
      </c>
      <c r="AI17" s="80">
        <f t="shared" si="23"/>
        <v>0</v>
      </c>
      <c r="AJ17" s="80">
        <f t="shared" si="23"/>
        <v>0</v>
      </c>
      <c r="AK17" s="80">
        <f t="shared" si="23"/>
        <v>0</v>
      </c>
      <c r="AL17" s="80">
        <f t="shared" si="23"/>
        <v>0</v>
      </c>
      <c r="AM17" s="80">
        <f t="shared" si="23"/>
        <v>0</v>
      </c>
      <c r="AN17" s="80">
        <f t="shared" si="23"/>
        <v>0</v>
      </c>
      <c r="AO17" s="80">
        <f t="shared" si="23"/>
        <v>0</v>
      </c>
      <c r="AP17" s="80">
        <f t="shared" si="23"/>
        <v>0</v>
      </c>
      <c r="AQ17" s="80">
        <f t="shared" si="23"/>
        <v>0</v>
      </c>
      <c r="AR17" s="80">
        <f t="shared" si="23"/>
        <v>0</v>
      </c>
      <c r="AS17" s="80">
        <f t="shared" si="23"/>
        <v>0</v>
      </c>
      <c r="AT17" s="80">
        <f t="shared" si="23"/>
        <v>0</v>
      </c>
      <c r="AU17" s="80">
        <f t="shared" si="23"/>
        <v>0</v>
      </c>
      <c r="AV17" s="80">
        <f t="shared" si="23"/>
        <v>0</v>
      </c>
      <c r="AW17" s="80">
        <f t="shared" si="23"/>
        <v>0</v>
      </c>
      <c r="AX17" s="80">
        <f aca="true" t="shared" si="24" ref="AX17:CG17">IF(AND(Pump_SchedStart&lt;Pump_T,Pump_SchedFinish&gt;=Pump_T),1,0)</f>
        <v>0</v>
      </c>
      <c r="AY17" s="80">
        <f t="shared" si="24"/>
        <v>0</v>
      </c>
      <c r="AZ17" s="80">
        <f t="shared" si="24"/>
        <v>0</v>
      </c>
      <c r="BA17" s="80">
        <f t="shared" si="24"/>
        <v>0</v>
      </c>
      <c r="BB17" s="80">
        <f t="shared" si="24"/>
        <v>1</v>
      </c>
      <c r="BC17" s="80">
        <f t="shared" si="24"/>
        <v>1</v>
      </c>
      <c r="BD17" s="80">
        <f t="shared" si="24"/>
        <v>1</v>
      </c>
      <c r="BE17" s="80">
        <f t="shared" si="24"/>
        <v>1</v>
      </c>
      <c r="BF17" s="80">
        <f t="shared" si="24"/>
        <v>1</v>
      </c>
      <c r="BG17" s="80">
        <f t="shared" si="24"/>
        <v>1</v>
      </c>
      <c r="BH17" s="80">
        <f t="shared" si="24"/>
        <v>0</v>
      </c>
      <c r="BI17" s="80">
        <f t="shared" si="24"/>
        <v>0</v>
      </c>
      <c r="BJ17" s="80">
        <f t="shared" si="24"/>
        <v>0</v>
      </c>
      <c r="BK17" s="80">
        <f t="shared" si="24"/>
        <v>0</v>
      </c>
      <c r="BL17" s="80">
        <f t="shared" si="24"/>
        <v>0</v>
      </c>
      <c r="BM17" s="80">
        <f t="shared" si="24"/>
        <v>0</v>
      </c>
      <c r="BN17" s="80">
        <f t="shared" si="24"/>
        <v>0</v>
      </c>
      <c r="BO17" s="80">
        <f t="shared" si="24"/>
        <v>0</v>
      </c>
      <c r="BP17" s="80">
        <f t="shared" si="24"/>
        <v>0</v>
      </c>
      <c r="BQ17" s="80">
        <f t="shared" si="24"/>
        <v>0</v>
      </c>
      <c r="BR17" s="80">
        <f t="shared" si="24"/>
        <v>0</v>
      </c>
      <c r="BS17" s="80">
        <f t="shared" si="24"/>
        <v>0</v>
      </c>
      <c r="BT17" s="80">
        <f t="shared" si="24"/>
        <v>0</v>
      </c>
      <c r="BU17" s="80">
        <f t="shared" si="24"/>
        <v>0</v>
      </c>
      <c r="BV17" s="80">
        <f t="shared" si="24"/>
        <v>0</v>
      </c>
      <c r="BW17" s="80">
        <f t="shared" si="24"/>
        <v>0</v>
      </c>
      <c r="BX17" s="80">
        <f t="shared" si="24"/>
        <v>0</v>
      </c>
      <c r="BY17" s="80">
        <f t="shared" si="24"/>
        <v>0</v>
      </c>
      <c r="BZ17" s="80">
        <f t="shared" si="24"/>
        <v>0</v>
      </c>
      <c r="CA17" s="80">
        <f t="shared" si="24"/>
        <v>0</v>
      </c>
      <c r="CB17" s="80">
        <f t="shared" si="24"/>
        <v>0</v>
      </c>
      <c r="CC17" s="80">
        <f t="shared" si="24"/>
        <v>0</v>
      </c>
      <c r="CD17" s="80">
        <f t="shared" si="24"/>
        <v>0</v>
      </c>
      <c r="CE17" s="80">
        <f t="shared" si="24"/>
        <v>0</v>
      </c>
      <c r="CF17" s="80">
        <f t="shared" si="24"/>
        <v>0</v>
      </c>
      <c r="CG17" s="87">
        <f t="shared" si="24"/>
        <v>0</v>
      </c>
      <c r="CH17" s="79"/>
    </row>
    <row r="18" spans="1:86" ht="12.75">
      <c r="A18" s="66" t="s">
        <v>99</v>
      </c>
      <c r="E18">
        <v>10</v>
      </c>
      <c r="F18" s="9">
        <f>INDEX(Pump_NodeSort,10)</f>
        <v>10</v>
      </c>
      <c r="G18" s="45" t="str">
        <f t="shared" si="7"/>
        <v>I</v>
      </c>
      <c r="H18" s="9" t="str">
        <f t="shared" si="8"/>
        <v>INSTALL ELECTRIC MOTOR</v>
      </c>
      <c r="I18" s="9">
        <f t="shared" si="0"/>
        <v>4</v>
      </c>
      <c r="J18" s="5">
        <f>O17</f>
        <v>42</v>
      </c>
      <c r="K18" s="4">
        <f t="shared" si="1"/>
        <v>47</v>
      </c>
      <c r="L18" s="29">
        <f t="shared" si="2"/>
        <v>5</v>
      </c>
      <c r="M18" s="36">
        <v>0</v>
      </c>
      <c r="N18" s="5">
        <f t="shared" si="3"/>
        <v>42</v>
      </c>
      <c r="O18" s="29">
        <f t="shared" si="4"/>
        <v>46</v>
      </c>
      <c r="P18" s="9">
        <f>INDEX(Pump_ActRes,9,1)</f>
        <v>2</v>
      </c>
      <c r="Q18" s="76"/>
      <c r="R18" s="81">
        <f aca="true" t="shared" si="25" ref="R18:AW18">IF(AND(Pump_SchedStart&lt;Pump_T,Pump_SchedFinish&gt;=Pump_T),1,0)</f>
        <v>0</v>
      </c>
      <c r="S18" s="80">
        <f t="shared" si="25"/>
        <v>0</v>
      </c>
      <c r="T18" s="80">
        <f t="shared" si="25"/>
        <v>0</v>
      </c>
      <c r="U18" s="80">
        <f t="shared" si="25"/>
        <v>0</v>
      </c>
      <c r="V18" s="80">
        <f t="shared" si="25"/>
        <v>0</v>
      </c>
      <c r="W18" s="80">
        <f t="shared" si="25"/>
        <v>0</v>
      </c>
      <c r="X18" s="80">
        <f t="shared" si="25"/>
        <v>0</v>
      </c>
      <c r="Y18" s="80">
        <f t="shared" si="25"/>
        <v>0</v>
      </c>
      <c r="Z18" s="80">
        <f t="shared" si="25"/>
        <v>0</v>
      </c>
      <c r="AA18" s="80">
        <f t="shared" si="25"/>
        <v>0</v>
      </c>
      <c r="AB18" s="80">
        <f t="shared" si="25"/>
        <v>0</v>
      </c>
      <c r="AC18" s="80">
        <f t="shared" si="25"/>
        <v>0</v>
      </c>
      <c r="AD18" s="80">
        <f t="shared" si="25"/>
        <v>0</v>
      </c>
      <c r="AE18" s="80">
        <f t="shared" si="25"/>
        <v>0</v>
      </c>
      <c r="AF18" s="80">
        <f t="shared" si="25"/>
        <v>0</v>
      </c>
      <c r="AG18" s="80">
        <f t="shared" si="25"/>
        <v>0</v>
      </c>
      <c r="AH18" s="80">
        <f t="shared" si="25"/>
        <v>0</v>
      </c>
      <c r="AI18" s="80">
        <f t="shared" si="25"/>
        <v>0</v>
      </c>
      <c r="AJ18" s="80">
        <f t="shared" si="25"/>
        <v>0</v>
      </c>
      <c r="AK18" s="80">
        <f t="shared" si="25"/>
        <v>0</v>
      </c>
      <c r="AL18" s="80">
        <f t="shared" si="25"/>
        <v>0</v>
      </c>
      <c r="AM18" s="80">
        <f t="shared" si="25"/>
        <v>0</v>
      </c>
      <c r="AN18" s="80">
        <f t="shared" si="25"/>
        <v>0</v>
      </c>
      <c r="AO18" s="80">
        <f t="shared" si="25"/>
        <v>0</v>
      </c>
      <c r="AP18" s="80">
        <f t="shared" si="25"/>
        <v>0</v>
      </c>
      <c r="AQ18" s="80">
        <f t="shared" si="25"/>
        <v>0</v>
      </c>
      <c r="AR18" s="80">
        <f t="shared" si="25"/>
        <v>0</v>
      </c>
      <c r="AS18" s="80">
        <f t="shared" si="25"/>
        <v>0</v>
      </c>
      <c r="AT18" s="80">
        <f t="shared" si="25"/>
        <v>0</v>
      </c>
      <c r="AU18" s="80">
        <f t="shared" si="25"/>
        <v>0</v>
      </c>
      <c r="AV18" s="80">
        <f t="shared" si="25"/>
        <v>0</v>
      </c>
      <c r="AW18" s="80">
        <f t="shared" si="25"/>
        <v>0</v>
      </c>
      <c r="AX18" s="80">
        <f aca="true" t="shared" si="26" ref="AX18:CG18">IF(AND(Pump_SchedStart&lt;Pump_T,Pump_SchedFinish&gt;=Pump_T),1,0)</f>
        <v>0</v>
      </c>
      <c r="AY18" s="80">
        <f t="shared" si="26"/>
        <v>0</v>
      </c>
      <c r="AZ18" s="80">
        <f t="shared" si="26"/>
        <v>0</v>
      </c>
      <c r="BA18" s="80">
        <f t="shared" si="26"/>
        <v>0</v>
      </c>
      <c r="BB18" s="80">
        <f t="shared" si="26"/>
        <v>0</v>
      </c>
      <c r="BC18" s="80">
        <f t="shared" si="26"/>
        <v>0</v>
      </c>
      <c r="BD18" s="80">
        <f t="shared" si="26"/>
        <v>0</v>
      </c>
      <c r="BE18" s="80">
        <f t="shared" si="26"/>
        <v>0</v>
      </c>
      <c r="BF18" s="80">
        <f t="shared" si="26"/>
        <v>0</v>
      </c>
      <c r="BG18" s="80">
        <f t="shared" si="26"/>
        <v>0</v>
      </c>
      <c r="BH18" s="80">
        <f t="shared" si="26"/>
        <v>1</v>
      </c>
      <c r="BI18" s="80">
        <f t="shared" si="26"/>
        <v>1</v>
      </c>
      <c r="BJ18" s="80">
        <f t="shared" si="26"/>
        <v>1</v>
      </c>
      <c r="BK18" s="80">
        <f t="shared" si="26"/>
        <v>1</v>
      </c>
      <c r="BL18" s="80">
        <f t="shared" si="26"/>
        <v>0</v>
      </c>
      <c r="BM18" s="80">
        <f t="shared" si="26"/>
        <v>0</v>
      </c>
      <c r="BN18" s="80">
        <f t="shared" si="26"/>
        <v>0</v>
      </c>
      <c r="BO18" s="80">
        <f t="shared" si="26"/>
        <v>0</v>
      </c>
      <c r="BP18" s="80">
        <f t="shared" si="26"/>
        <v>0</v>
      </c>
      <c r="BQ18" s="80">
        <f t="shared" si="26"/>
        <v>0</v>
      </c>
      <c r="BR18" s="80">
        <f t="shared" si="26"/>
        <v>0</v>
      </c>
      <c r="BS18" s="80">
        <f t="shared" si="26"/>
        <v>0</v>
      </c>
      <c r="BT18" s="80">
        <f t="shared" si="26"/>
        <v>0</v>
      </c>
      <c r="BU18" s="80">
        <f t="shared" si="26"/>
        <v>0</v>
      </c>
      <c r="BV18" s="80">
        <f t="shared" si="26"/>
        <v>0</v>
      </c>
      <c r="BW18" s="80">
        <f t="shared" si="26"/>
        <v>0</v>
      </c>
      <c r="BX18" s="80">
        <f t="shared" si="26"/>
        <v>0</v>
      </c>
      <c r="BY18" s="80">
        <f t="shared" si="26"/>
        <v>0</v>
      </c>
      <c r="BZ18" s="80">
        <f t="shared" si="26"/>
        <v>0</v>
      </c>
      <c r="CA18" s="80">
        <f t="shared" si="26"/>
        <v>0</v>
      </c>
      <c r="CB18" s="80">
        <f t="shared" si="26"/>
        <v>0</v>
      </c>
      <c r="CC18" s="80">
        <f t="shared" si="26"/>
        <v>0</v>
      </c>
      <c r="CD18" s="80">
        <f t="shared" si="26"/>
        <v>0</v>
      </c>
      <c r="CE18" s="80">
        <f t="shared" si="26"/>
        <v>0</v>
      </c>
      <c r="CF18" s="80">
        <f t="shared" si="26"/>
        <v>0</v>
      </c>
      <c r="CG18" s="87">
        <f t="shared" si="26"/>
        <v>0</v>
      </c>
      <c r="CH18" s="79"/>
    </row>
    <row r="19" spans="1:86" ht="12.75">
      <c r="A19" s="31" t="s">
        <v>81</v>
      </c>
      <c r="B19" s="4">
        <f>(Pump_SchedLast-Pump_SchedEarly)*Pump_SchedDelayCost</f>
        <v>0</v>
      </c>
      <c r="E19">
        <v>11</v>
      </c>
      <c r="F19" s="9">
        <f>INDEX(Pump_NodeSort,11)</f>
        <v>11</v>
      </c>
      <c r="G19" s="45" t="str">
        <f t="shared" si="7"/>
        <v>J</v>
      </c>
      <c r="H19" s="9" t="str">
        <f t="shared" si="8"/>
        <v>RUN SUCKER RODS</v>
      </c>
      <c r="I19" s="9">
        <f t="shared" si="0"/>
        <v>9</v>
      </c>
      <c r="J19" s="5">
        <f>O17</f>
        <v>42</v>
      </c>
      <c r="K19" s="4">
        <f t="shared" si="1"/>
        <v>42</v>
      </c>
      <c r="L19" s="29">
        <f t="shared" si="2"/>
        <v>0</v>
      </c>
      <c r="M19" s="36">
        <v>0</v>
      </c>
      <c r="N19" s="5">
        <f t="shared" si="3"/>
        <v>42</v>
      </c>
      <c r="O19" s="29">
        <f t="shared" si="4"/>
        <v>51</v>
      </c>
      <c r="P19" s="9">
        <f>INDEX(Pump_ActRes,10,1)</f>
        <v>3</v>
      </c>
      <c r="Q19" s="77"/>
      <c r="R19" s="81">
        <f aca="true" t="shared" si="27" ref="R19:AW19">IF(AND(Pump_SchedStart&lt;Pump_T,Pump_SchedFinish&gt;=Pump_T),1,0)</f>
        <v>0</v>
      </c>
      <c r="S19" s="80">
        <f t="shared" si="27"/>
        <v>0</v>
      </c>
      <c r="T19" s="80">
        <f t="shared" si="27"/>
        <v>0</v>
      </c>
      <c r="U19" s="80">
        <f t="shared" si="27"/>
        <v>0</v>
      </c>
      <c r="V19" s="80">
        <f t="shared" si="27"/>
        <v>0</v>
      </c>
      <c r="W19" s="80">
        <f t="shared" si="27"/>
        <v>0</v>
      </c>
      <c r="X19" s="80">
        <f t="shared" si="27"/>
        <v>0</v>
      </c>
      <c r="Y19" s="80">
        <f t="shared" si="27"/>
        <v>0</v>
      </c>
      <c r="Z19" s="80">
        <f t="shared" si="27"/>
        <v>0</v>
      </c>
      <c r="AA19" s="80">
        <f t="shared" si="27"/>
        <v>0</v>
      </c>
      <c r="AB19" s="80">
        <f t="shared" si="27"/>
        <v>0</v>
      </c>
      <c r="AC19" s="80">
        <f t="shared" si="27"/>
        <v>0</v>
      </c>
      <c r="AD19" s="80">
        <f t="shared" si="27"/>
        <v>0</v>
      </c>
      <c r="AE19" s="80">
        <f t="shared" si="27"/>
        <v>0</v>
      </c>
      <c r="AF19" s="80">
        <f t="shared" si="27"/>
        <v>0</v>
      </c>
      <c r="AG19" s="80">
        <f t="shared" si="27"/>
        <v>0</v>
      </c>
      <c r="AH19" s="80">
        <f t="shared" si="27"/>
        <v>0</v>
      </c>
      <c r="AI19" s="80">
        <f t="shared" si="27"/>
        <v>0</v>
      </c>
      <c r="AJ19" s="80">
        <f t="shared" si="27"/>
        <v>0</v>
      </c>
      <c r="AK19" s="80">
        <f t="shared" si="27"/>
        <v>0</v>
      </c>
      <c r="AL19" s="80">
        <f t="shared" si="27"/>
        <v>0</v>
      </c>
      <c r="AM19" s="80">
        <f t="shared" si="27"/>
        <v>0</v>
      </c>
      <c r="AN19" s="80">
        <f t="shared" si="27"/>
        <v>0</v>
      </c>
      <c r="AO19" s="80">
        <f t="shared" si="27"/>
        <v>0</v>
      </c>
      <c r="AP19" s="80">
        <f t="shared" si="27"/>
        <v>0</v>
      </c>
      <c r="AQ19" s="80">
        <f t="shared" si="27"/>
        <v>0</v>
      </c>
      <c r="AR19" s="80">
        <f t="shared" si="27"/>
        <v>0</v>
      </c>
      <c r="AS19" s="80">
        <f t="shared" si="27"/>
        <v>0</v>
      </c>
      <c r="AT19" s="80">
        <f t="shared" si="27"/>
        <v>0</v>
      </c>
      <c r="AU19" s="80">
        <f t="shared" si="27"/>
        <v>0</v>
      </c>
      <c r="AV19" s="80">
        <f t="shared" si="27"/>
        <v>0</v>
      </c>
      <c r="AW19" s="80">
        <f t="shared" si="27"/>
        <v>0</v>
      </c>
      <c r="AX19" s="80">
        <f aca="true" t="shared" si="28" ref="AX19:CG19">IF(AND(Pump_SchedStart&lt;Pump_T,Pump_SchedFinish&gt;=Pump_T),1,0)</f>
        <v>0</v>
      </c>
      <c r="AY19" s="80">
        <f t="shared" si="28"/>
        <v>0</v>
      </c>
      <c r="AZ19" s="80">
        <f t="shared" si="28"/>
        <v>0</v>
      </c>
      <c r="BA19" s="80">
        <f t="shared" si="28"/>
        <v>0</v>
      </c>
      <c r="BB19" s="80">
        <f t="shared" si="28"/>
        <v>0</v>
      </c>
      <c r="BC19" s="80">
        <f t="shared" si="28"/>
        <v>0</v>
      </c>
      <c r="BD19" s="80">
        <f t="shared" si="28"/>
        <v>0</v>
      </c>
      <c r="BE19" s="80">
        <f t="shared" si="28"/>
        <v>0</v>
      </c>
      <c r="BF19" s="80">
        <f t="shared" si="28"/>
        <v>0</v>
      </c>
      <c r="BG19" s="80">
        <f t="shared" si="28"/>
        <v>0</v>
      </c>
      <c r="BH19" s="80">
        <f t="shared" si="28"/>
        <v>1</v>
      </c>
      <c r="BI19" s="80">
        <f t="shared" si="28"/>
        <v>1</v>
      </c>
      <c r="BJ19" s="80">
        <f t="shared" si="28"/>
        <v>1</v>
      </c>
      <c r="BK19" s="80">
        <f t="shared" si="28"/>
        <v>1</v>
      </c>
      <c r="BL19" s="80">
        <f t="shared" si="28"/>
        <v>1</v>
      </c>
      <c r="BM19" s="80">
        <f t="shared" si="28"/>
        <v>1</v>
      </c>
      <c r="BN19" s="80">
        <f t="shared" si="28"/>
        <v>1</v>
      </c>
      <c r="BO19" s="80">
        <f t="shared" si="28"/>
        <v>1</v>
      </c>
      <c r="BP19" s="80">
        <f t="shared" si="28"/>
        <v>1</v>
      </c>
      <c r="BQ19" s="80">
        <f t="shared" si="28"/>
        <v>0</v>
      </c>
      <c r="BR19" s="80">
        <f t="shared" si="28"/>
        <v>0</v>
      </c>
      <c r="BS19" s="80">
        <f t="shared" si="28"/>
        <v>0</v>
      </c>
      <c r="BT19" s="80">
        <f t="shared" si="28"/>
        <v>0</v>
      </c>
      <c r="BU19" s="80">
        <f t="shared" si="28"/>
        <v>0</v>
      </c>
      <c r="BV19" s="80">
        <f t="shared" si="28"/>
        <v>0</v>
      </c>
      <c r="BW19" s="80">
        <f t="shared" si="28"/>
        <v>0</v>
      </c>
      <c r="BX19" s="80">
        <f t="shared" si="28"/>
        <v>0</v>
      </c>
      <c r="BY19" s="80">
        <f t="shared" si="28"/>
        <v>0</v>
      </c>
      <c r="BZ19" s="80">
        <f t="shared" si="28"/>
        <v>0</v>
      </c>
      <c r="CA19" s="80">
        <f t="shared" si="28"/>
        <v>0</v>
      </c>
      <c r="CB19" s="80">
        <f t="shared" si="28"/>
        <v>0</v>
      </c>
      <c r="CC19" s="80">
        <f t="shared" si="28"/>
        <v>0</v>
      </c>
      <c r="CD19" s="80">
        <f t="shared" si="28"/>
        <v>0</v>
      </c>
      <c r="CE19" s="80">
        <f t="shared" si="28"/>
        <v>0</v>
      </c>
      <c r="CF19" s="80">
        <f t="shared" si="28"/>
        <v>0</v>
      </c>
      <c r="CG19" s="87">
        <f t="shared" si="28"/>
        <v>0</v>
      </c>
      <c r="CH19" s="79"/>
    </row>
    <row r="20" spans="1:86" ht="12.75">
      <c r="A20" s="31" t="s">
        <v>86</v>
      </c>
      <c r="B20" s="4">
        <f>SUM(Pump_ResShortTotal)</f>
        <v>31</v>
      </c>
      <c r="E20">
        <v>12</v>
      </c>
      <c r="F20" s="9">
        <f>INDEX(Pump_NodeSort,12)</f>
        <v>12</v>
      </c>
      <c r="G20" s="45" t="str">
        <f t="shared" si="7"/>
        <v>K</v>
      </c>
      <c r="H20" s="9" t="str">
        <f t="shared" si="8"/>
        <v>TIE IN, TEST MOTOR</v>
      </c>
      <c r="I20" s="9">
        <f t="shared" si="0"/>
        <v>1.5</v>
      </c>
      <c r="J20" s="5">
        <f>MAX(O16,O18)</f>
        <v>51</v>
      </c>
      <c r="K20" s="4">
        <f t="shared" si="1"/>
        <v>51</v>
      </c>
      <c r="L20" s="29">
        <f t="shared" si="2"/>
        <v>0</v>
      </c>
      <c r="M20" s="36">
        <v>0</v>
      </c>
      <c r="N20" s="5">
        <f t="shared" si="3"/>
        <v>51</v>
      </c>
      <c r="O20" s="29">
        <f t="shared" si="4"/>
        <v>52.5</v>
      </c>
      <c r="P20" s="9">
        <f>INDEX(Pump_ActRes,11,1)</f>
        <v>1</v>
      </c>
      <c r="Q20" s="68"/>
      <c r="R20" s="81">
        <f aca="true" t="shared" si="29" ref="R20:AW20">IF(AND(Pump_SchedStart&lt;Pump_T,Pump_SchedFinish&gt;=Pump_T),1,0)</f>
        <v>0</v>
      </c>
      <c r="S20" s="80">
        <f t="shared" si="29"/>
        <v>0</v>
      </c>
      <c r="T20" s="80">
        <f t="shared" si="29"/>
        <v>0</v>
      </c>
      <c r="U20" s="80">
        <f t="shared" si="29"/>
        <v>0</v>
      </c>
      <c r="V20" s="80">
        <f t="shared" si="29"/>
        <v>0</v>
      </c>
      <c r="W20" s="80">
        <f t="shared" si="29"/>
        <v>0</v>
      </c>
      <c r="X20" s="80">
        <f t="shared" si="29"/>
        <v>0</v>
      </c>
      <c r="Y20" s="80">
        <f t="shared" si="29"/>
        <v>0</v>
      </c>
      <c r="Z20" s="80">
        <f t="shared" si="29"/>
        <v>0</v>
      </c>
      <c r="AA20" s="80">
        <f t="shared" si="29"/>
        <v>0</v>
      </c>
      <c r="AB20" s="80">
        <f t="shared" si="29"/>
        <v>0</v>
      </c>
      <c r="AC20" s="80">
        <f t="shared" si="29"/>
        <v>0</v>
      </c>
      <c r="AD20" s="80">
        <f t="shared" si="29"/>
        <v>0</v>
      </c>
      <c r="AE20" s="80">
        <f t="shared" si="29"/>
        <v>0</v>
      </c>
      <c r="AF20" s="80">
        <f t="shared" si="29"/>
        <v>0</v>
      </c>
      <c r="AG20" s="80">
        <f t="shared" si="29"/>
        <v>0</v>
      </c>
      <c r="AH20" s="80">
        <f t="shared" si="29"/>
        <v>0</v>
      </c>
      <c r="AI20" s="80">
        <f t="shared" si="29"/>
        <v>0</v>
      </c>
      <c r="AJ20" s="80">
        <f t="shared" si="29"/>
        <v>0</v>
      </c>
      <c r="AK20" s="80">
        <f t="shared" si="29"/>
        <v>0</v>
      </c>
      <c r="AL20" s="80">
        <f t="shared" si="29"/>
        <v>0</v>
      </c>
      <c r="AM20" s="80">
        <f t="shared" si="29"/>
        <v>0</v>
      </c>
      <c r="AN20" s="80">
        <f t="shared" si="29"/>
        <v>0</v>
      </c>
      <c r="AO20" s="80">
        <f t="shared" si="29"/>
        <v>0</v>
      </c>
      <c r="AP20" s="80">
        <f t="shared" si="29"/>
        <v>0</v>
      </c>
      <c r="AQ20" s="80">
        <f t="shared" si="29"/>
        <v>0</v>
      </c>
      <c r="AR20" s="80">
        <f t="shared" si="29"/>
        <v>0</v>
      </c>
      <c r="AS20" s="80">
        <f t="shared" si="29"/>
        <v>0</v>
      </c>
      <c r="AT20" s="80">
        <f t="shared" si="29"/>
        <v>0</v>
      </c>
      <c r="AU20" s="80">
        <f t="shared" si="29"/>
        <v>0</v>
      </c>
      <c r="AV20" s="80">
        <f t="shared" si="29"/>
        <v>0</v>
      </c>
      <c r="AW20" s="80">
        <f t="shared" si="29"/>
        <v>0</v>
      </c>
      <c r="AX20" s="80">
        <f aca="true" t="shared" si="30" ref="AX20:CG20">IF(AND(Pump_SchedStart&lt;Pump_T,Pump_SchedFinish&gt;=Pump_T),1,0)</f>
        <v>0</v>
      </c>
      <c r="AY20" s="80">
        <f t="shared" si="30"/>
        <v>0</v>
      </c>
      <c r="AZ20" s="80">
        <f t="shared" si="30"/>
        <v>0</v>
      </c>
      <c r="BA20" s="80">
        <f t="shared" si="30"/>
        <v>0</v>
      </c>
      <c r="BB20" s="80">
        <f t="shared" si="30"/>
        <v>0</v>
      </c>
      <c r="BC20" s="80">
        <f t="shared" si="30"/>
        <v>0</v>
      </c>
      <c r="BD20" s="80">
        <f t="shared" si="30"/>
        <v>0</v>
      </c>
      <c r="BE20" s="80">
        <f t="shared" si="30"/>
        <v>0</v>
      </c>
      <c r="BF20" s="80">
        <f t="shared" si="30"/>
        <v>0</v>
      </c>
      <c r="BG20" s="80">
        <f t="shared" si="30"/>
        <v>0</v>
      </c>
      <c r="BH20" s="80">
        <f t="shared" si="30"/>
        <v>0</v>
      </c>
      <c r="BI20" s="80">
        <f t="shared" si="30"/>
        <v>0</v>
      </c>
      <c r="BJ20" s="80">
        <f t="shared" si="30"/>
        <v>0</v>
      </c>
      <c r="BK20" s="80">
        <f t="shared" si="30"/>
        <v>0</v>
      </c>
      <c r="BL20" s="80">
        <f t="shared" si="30"/>
        <v>0</v>
      </c>
      <c r="BM20" s="80">
        <f t="shared" si="30"/>
        <v>0</v>
      </c>
      <c r="BN20" s="80">
        <f t="shared" si="30"/>
        <v>0</v>
      </c>
      <c r="BO20" s="80">
        <f t="shared" si="30"/>
        <v>0</v>
      </c>
      <c r="BP20" s="80">
        <f t="shared" si="30"/>
        <v>0</v>
      </c>
      <c r="BQ20" s="80">
        <f t="shared" si="30"/>
        <v>1</v>
      </c>
      <c r="BR20" s="80">
        <f t="shared" si="30"/>
        <v>0</v>
      </c>
      <c r="BS20" s="80">
        <f t="shared" si="30"/>
        <v>0</v>
      </c>
      <c r="BT20" s="80">
        <f t="shared" si="30"/>
        <v>0</v>
      </c>
      <c r="BU20" s="80">
        <f t="shared" si="30"/>
        <v>0</v>
      </c>
      <c r="BV20" s="80">
        <f t="shared" si="30"/>
        <v>0</v>
      </c>
      <c r="BW20" s="80">
        <f t="shared" si="30"/>
        <v>0</v>
      </c>
      <c r="BX20" s="80">
        <f t="shared" si="30"/>
        <v>0</v>
      </c>
      <c r="BY20" s="80">
        <f t="shared" si="30"/>
        <v>0</v>
      </c>
      <c r="BZ20" s="80">
        <f t="shared" si="30"/>
        <v>0</v>
      </c>
      <c r="CA20" s="80">
        <f t="shared" si="30"/>
        <v>0</v>
      </c>
      <c r="CB20" s="80">
        <f t="shared" si="30"/>
        <v>0</v>
      </c>
      <c r="CC20" s="80">
        <f t="shared" si="30"/>
        <v>0</v>
      </c>
      <c r="CD20" s="80">
        <f t="shared" si="30"/>
        <v>0</v>
      </c>
      <c r="CE20" s="80">
        <f t="shared" si="30"/>
        <v>0</v>
      </c>
      <c r="CF20" s="80">
        <f t="shared" si="30"/>
        <v>0</v>
      </c>
      <c r="CG20" s="87">
        <f t="shared" si="30"/>
        <v>0</v>
      </c>
      <c r="CH20" s="79"/>
    </row>
    <row r="21" spans="1:86" ht="12.75">
      <c r="A21" s="31" t="s">
        <v>100</v>
      </c>
      <c r="B21" s="4">
        <f>B19+B20</f>
        <v>31</v>
      </c>
      <c r="E21">
        <v>13</v>
      </c>
      <c r="F21" s="9">
        <f>INDEX(Pump_NodeSort,13)</f>
        <v>13</v>
      </c>
      <c r="G21" s="45" t="str">
        <f t="shared" si="7"/>
        <v>L</v>
      </c>
      <c r="H21" s="9" t="str">
        <f t="shared" si="8"/>
        <v>NIPPLE UP WELL HEAD</v>
      </c>
      <c r="I21" s="9">
        <f t="shared" si="0"/>
        <v>1.5</v>
      </c>
      <c r="J21" s="5">
        <f>MAX(O15,O19)</f>
        <v>51</v>
      </c>
      <c r="K21" s="4">
        <f t="shared" si="1"/>
        <v>51</v>
      </c>
      <c r="L21" s="29">
        <f t="shared" si="2"/>
        <v>0</v>
      </c>
      <c r="M21" s="36">
        <v>0</v>
      </c>
      <c r="N21" s="5">
        <f t="shared" si="3"/>
        <v>51</v>
      </c>
      <c r="O21" s="29">
        <f t="shared" si="4"/>
        <v>52.5</v>
      </c>
      <c r="P21" s="9">
        <f>INDEX(Pump_ActRes,12,1)</f>
        <v>2</v>
      </c>
      <c r="Q21" s="69"/>
      <c r="R21" s="81">
        <f aca="true" t="shared" si="31" ref="R21:AW21">IF(AND(Pump_SchedStart&lt;Pump_T,Pump_SchedFinish&gt;=Pump_T),1,0)</f>
        <v>0</v>
      </c>
      <c r="S21" s="80">
        <f t="shared" si="31"/>
        <v>0</v>
      </c>
      <c r="T21" s="80">
        <f t="shared" si="31"/>
        <v>0</v>
      </c>
      <c r="U21" s="80">
        <f t="shared" si="31"/>
        <v>0</v>
      </c>
      <c r="V21" s="80">
        <f t="shared" si="31"/>
        <v>0</v>
      </c>
      <c r="W21" s="80">
        <f t="shared" si="31"/>
        <v>0</v>
      </c>
      <c r="X21" s="80">
        <f t="shared" si="31"/>
        <v>0</v>
      </c>
      <c r="Y21" s="80">
        <f t="shared" si="31"/>
        <v>0</v>
      </c>
      <c r="Z21" s="80">
        <f t="shared" si="31"/>
        <v>0</v>
      </c>
      <c r="AA21" s="80">
        <f t="shared" si="31"/>
        <v>0</v>
      </c>
      <c r="AB21" s="80">
        <f t="shared" si="31"/>
        <v>0</v>
      </c>
      <c r="AC21" s="80">
        <f t="shared" si="31"/>
        <v>0</v>
      </c>
      <c r="AD21" s="80">
        <f t="shared" si="31"/>
        <v>0</v>
      </c>
      <c r="AE21" s="80">
        <f t="shared" si="31"/>
        <v>0</v>
      </c>
      <c r="AF21" s="80">
        <f t="shared" si="31"/>
        <v>0</v>
      </c>
      <c r="AG21" s="80">
        <f t="shared" si="31"/>
        <v>0</v>
      </c>
      <c r="AH21" s="80">
        <f t="shared" si="31"/>
        <v>0</v>
      </c>
      <c r="AI21" s="80">
        <f t="shared" si="31"/>
        <v>0</v>
      </c>
      <c r="AJ21" s="80">
        <f t="shared" si="31"/>
        <v>0</v>
      </c>
      <c r="AK21" s="80">
        <f t="shared" si="31"/>
        <v>0</v>
      </c>
      <c r="AL21" s="80">
        <f t="shared" si="31"/>
        <v>0</v>
      </c>
      <c r="AM21" s="80">
        <f t="shared" si="31"/>
        <v>0</v>
      </c>
      <c r="AN21" s="80">
        <f t="shared" si="31"/>
        <v>0</v>
      </c>
      <c r="AO21" s="80">
        <f t="shared" si="31"/>
        <v>0</v>
      </c>
      <c r="AP21" s="80">
        <f t="shared" si="31"/>
        <v>0</v>
      </c>
      <c r="AQ21" s="80">
        <f t="shared" si="31"/>
        <v>0</v>
      </c>
      <c r="AR21" s="80">
        <f t="shared" si="31"/>
        <v>0</v>
      </c>
      <c r="AS21" s="80">
        <f t="shared" si="31"/>
        <v>0</v>
      </c>
      <c r="AT21" s="80">
        <f t="shared" si="31"/>
        <v>0</v>
      </c>
      <c r="AU21" s="80">
        <f t="shared" si="31"/>
        <v>0</v>
      </c>
      <c r="AV21" s="80">
        <f t="shared" si="31"/>
        <v>0</v>
      </c>
      <c r="AW21" s="80">
        <f t="shared" si="31"/>
        <v>0</v>
      </c>
      <c r="AX21" s="80">
        <f aca="true" t="shared" si="32" ref="AX21:CG21">IF(AND(Pump_SchedStart&lt;Pump_T,Pump_SchedFinish&gt;=Pump_T),1,0)</f>
        <v>0</v>
      </c>
      <c r="AY21" s="80">
        <f t="shared" si="32"/>
        <v>0</v>
      </c>
      <c r="AZ21" s="80">
        <f t="shared" si="32"/>
        <v>0</v>
      </c>
      <c r="BA21" s="80">
        <f t="shared" si="32"/>
        <v>0</v>
      </c>
      <c r="BB21" s="80">
        <f t="shared" si="32"/>
        <v>0</v>
      </c>
      <c r="BC21" s="80">
        <f t="shared" si="32"/>
        <v>0</v>
      </c>
      <c r="BD21" s="80">
        <f t="shared" si="32"/>
        <v>0</v>
      </c>
      <c r="BE21" s="80">
        <f t="shared" si="32"/>
        <v>0</v>
      </c>
      <c r="BF21" s="80">
        <f t="shared" si="32"/>
        <v>0</v>
      </c>
      <c r="BG21" s="80">
        <f t="shared" si="32"/>
        <v>0</v>
      </c>
      <c r="BH21" s="80">
        <f t="shared" si="32"/>
        <v>0</v>
      </c>
      <c r="BI21" s="80">
        <f t="shared" si="32"/>
        <v>0</v>
      </c>
      <c r="BJ21" s="80">
        <f t="shared" si="32"/>
        <v>0</v>
      </c>
      <c r="BK21" s="80">
        <f t="shared" si="32"/>
        <v>0</v>
      </c>
      <c r="BL21" s="80">
        <f t="shared" si="32"/>
        <v>0</v>
      </c>
      <c r="BM21" s="80">
        <f t="shared" si="32"/>
        <v>0</v>
      </c>
      <c r="BN21" s="80">
        <f t="shared" si="32"/>
        <v>0</v>
      </c>
      <c r="BO21" s="80">
        <f t="shared" si="32"/>
        <v>0</v>
      </c>
      <c r="BP21" s="80">
        <f t="shared" si="32"/>
        <v>0</v>
      </c>
      <c r="BQ21" s="80">
        <f t="shared" si="32"/>
        <v>1</v>
      </c>
      <c r="BR21" s="80">
        <f t="shared" si="32"/>
        <v>0</v>
      </c>
      <c r="BS21" s="80">
        <f t="shared" si="32"/>
        <v>0</v>
      </c>
      <c r="BT21" s="80">
        <f t="shared" si="32"/>
        <v>0</v>
      </c>
      <c r="BU21" s="80">
        <f t="shared" si="32"/>
        <v>0</v>
      </c>
      <c r="BV21" s="80">
        <f t="shared" si="32"/>
        <v>0</v>
      </c>
      <c r="BW21" s="80">
        <f t="shared" si="32"/>
        <v>0</v>
      </c>
      <c r="BX21" s="80">
        <f t="shared" si="32"/>
        <v>0</v>
      </c>
      <c r="BY21" s="80">
        <f t="shared" si="32"/>
        <v>0</v>
      </c>
      <c r="BZ21" s="80">
        <f t="shared" si="32"/>
        <v>0</v>
      </c>
      <c r="CA21" s="80">
        <f t="shared" si="32"/>
        <v>0</v>
      </c>
      <c r="CB21" s="80">
        <f t="shared" si="32"/>
        <v>0</v>
      </c>
      <c r="CC21" s="80">
        <f t="shared" si="32"/>
        <v>0</v>
      </c>
      <c r="CD21" s="80">
        <f t="shared" si="32"/>
        <v>0</v>
      </c>
      <c r="CE21" s="80">
        <f t="shared" si="32"/>
        <v>0</v>
      </c>
      <c r="CF21" s="80">
        <f t="shared" si="32"/>
        <v>0</v>
      </c>
      <c r="CG21" s="87">
        <f t="shared" si="32"/>
        <v>0</v>
      </c>
      <c r="CH21" s="79"/>
    </row>
    <row r="22" spans="1:86" ht="12.75">
      <c r="A22" s="31"/>
      <c r="E22">
        <v>14</v>
      </c>
      <c r="F22" s="9">
        <f>INDEX(Pump_NodeSort,14)</f>
        <v>14</v>
      </c>
      <c r="G22" s="45" t="str">
        <f t="shared" si="7"/>
        <v>M</v>
      </c>
      <c r="H22" s="9" t="str">
        <f t="shared" si="8"/>
        <v>TEST PUMP</v>
      </c>
      <c r="I22" s="9">
        <f t="shared" si="0"/>
        <v>4.5</v>
      </c>
      <c r="J22" s="5">
        <f>MAX(O20,O21)</f>
        <v>52.5</v>
      </c>
      <c r="K22" s="4">
        <f t="shared" si="1"/>
        <v>52.5</v>
      </c>
      <c r="L22" s="29">
        <f t="shared" si="2"/>
        <v>0</v>
      </c>
      <c r="M22" s="36">
        <v>0</v>
      </c>
      <c r="N22" s="5">
        <f t="shared" si="3"/>
        <v>52.5</v>
      </c>
      <c r="O22" s="29">
        <f t="shared" si="4"/>
        <v>57</v>
      </c>
      <c r="P22" s="9">
        <f>INDEX(Pump_ActRes,13,1)</f>
        <v>2</v>
      </c>
      <c r="Q22" s="70"/>
      <c r="R22" s="81">
        <f aca="true" t="shared" si="33" ref="R22:AW22">IF(AND(Pump_SchedStart&lt;Pump_T,Pump_SchedFinish&gt;=Pump_T),1,0)</f>
        <v>0</v>
      </c>
      <c r="S22" s="80">
        <f t="shared" si="33"/>
        <v>0</v>
      </c>
      <c r="T22" s="80">
        <f t="shared" si="33"/>
        <v>0</v>
      </c>
      <c r="U22" s="80">
        <f t="shared" si="33"/>
        <v>0</v>
      </c>
      <c r="V22" s="80">
        <f t="shared" si="33"/>
        <v>0</v>
      </c>
      <c r="W22" s="80">
        <f t="shared" si="33"/>
        <v>0</v>
      </c>
      <c r="X22" s="80">
        <f t="shared" si="33"/>
        <v>0</v>
      </c>
      <c r="Y22" s="80">
        <f t="shared" si="33"/>
        <v>0</v>
      </c>
      <c r="Z22" s="80">
        <f t="shared" si="33"/>
        <v>0</v>
      </c>
      <c r="AA22" s="80">
        <f t="shared" si="33"/>
        <v>0</v>
      </c>
      <c r="AB22" s="80">
        <f t="shared" si="33"/>
        <v>0</v>
      </c>
      <c r="AC22" s="80">
        <f t="shared" si="33"/>
        <v>0</v>
      </c>
      <c r="AD22" s="80">
        <f t="shared" si="33"/>
        <v>0</v>
      </c>
      <c r="AE22" s="80">
        <f t="shared" si="33"/>
        <v>0</v>
      </c>
      <c r="AF22" s="80">
        <f t="shared" si="33"/>
        <v>0</v>
      </c>
      <c r="AG22" s="80">
        <f t="shared" si="33"/>
        <v>0</v>
      </c>
      <c r="AH22" s="80">
        <f t="shared" si="33"/>
        <v>0</v>
      </c>
      <c r="AI22" s="80">
        <f t="shared" si="33"/>
        <v>0</v>
      </c>
      <c r="AJ22" s="80">
        <f t="shared" si="33"/>
        <v>0</v>
      </c>
      <c r="AK22" s="80">
        <f t="shared" si="33"/>
        <v>0</v>
      </c>
      <c r="AL22" s="80">
        <f t="shared" si="33"/>
        <v>0</v>
      </c>
      <c r="AM22" s="80">
        <f t="shared" si="33"/>
        <v>0</v>
      </c>
      <c r="AN22" s="80">
        <f t="shared" si="33"/>
        <v>0</v>
      </c>
      <c r="AO22" s="80">
        <f t="shared" si="33"/>
        <v>0</v>
      </c>
      <c r="AP22" s="80">
        <f t="shared" si="33"/>
        <v>0</v>
      </c>
      <c r="AQ22" s="80">
        <f t="shared" si="33"/>
        <v>0</v>
      </c>
      <c r="AR22" s="80">
        <f t="shared" si="33"/>
        <v>0</v>
      </c>
      <c r="AS22" s="80">
        <f t="shared" si="33"/>
        <v>0</v>
      </c>
      <c r="AT22" s="80">
        <f t="shared" si="33"/>
        <v>0</v>
      </c>
      <c r="AU22" s="80">
        <f t="shared" si="33"/>
        <v>0</v>
      </c>
      <c r="AV22" s="80">
        <f t="shared" si="33"/>
        <v>0</v>
      </c>
      <c r="AW22" s="80">
        <f t="shared" si="33"/>
        <v>0</v>
      </c>
      <c r="AX22" s="80">
        <f aca="true" t="shared" si="34" ref="AX22:CG22">IF(AND(Pump_SchedStart&lt;Pump_T,Pump_SchedFinish&gt;=Pump_T),1,0)</f>
        <v>0</v>
      </c>
      <c r="AY22" s="80">
        <f t="shared" si="34"/>
        <v>0</v>
      </c>
      <c r="AZ22" s="80">
        <f t="shared" si="34"/>
        <v>0</v>
      </c>
      <c r="BA22" s="80">
        <f t="shared" si="34"/>
        <v>0</v>
      </c>
      <c r="BB22" s="80">
        <f t="shared" si="34"/>
        <v>0</v>
      </c>
      <c r="BC22" s="80">
        <f t="shared" si="34"/>
        <v>0</v>
      </c>
      <c r="BD22" s="80">
        <f t="shared" si="34"/>
        <v>0</v>
      </c>
      <c r="BE22" s="80">
        <f t="shared" si="34"/>
        <v>0</v>
      </c>
      <c r="BF22" s="80">
        <f t="shared" si="34"/>
        <v>0</v>
      </c>
      <c r="BG22" s="80">
        <f t="shared" si="34"/>
        <v>0</v>
      </c>
      <c r="BH22" s="80">
        <f t="shared" si="34"/>
        <v>0</v>
      </c>
      <c r="BI22" s="80">
        <f t="shared" si="34"/>
        <v>0</v>
      </c>
      <c r="BJ22" s="80">
        <f t="shared" si="34"/>
        <v>0</v>
      </c>
      <c r="BK22" s="80">
        <f t="shared" si="34"/>
        <v>0</v>
      </c>
      <c r="BL22" s="80">
        <f t="shared" si="34"/>
        <v>0</v>
      </c>
      <c r="BM22" s="80">
        <f t="shared" si="34"/>
        <v>0</v>
      </c>
      <c r="BN22" s="80">
        <f t="shared" si="34"/>
        <v>0</v>
      </c>
      <c r="BO22" s="80">
        <f t="shared" si="34"/>
        <v>0</v>
      </c>
      <c r="BP22" s="80">
        <f t="shared" si="34"/>
        <v>0</v>
      </c>
      <c r="BQ22" s="80">
        <f t="shared" si="34"/>
        <v>0</v>
      </c>
      <c r="BR22" s="80">
        <f t="shared" si="34"/>
        <v>1</v>
      </c>
      <c r="BS22" s="80">
        <f t="shared" si="34"/>
        <v>1</v>
      </c>
      <c r="BT22" s="80">
        <f t="shared" si="34"/>
        <v>1</v>
      </c>
      <c r="BU22" s="80">
        <f t="shared" si="34"/>
        <v>1</v>
      </c>
      <c r="BV22" s="80">
        <f t="shared" si="34"/>
        <v>1</v>
      </c>
      <c r="BW22" s="80">
        <f t="shared" si="34"/>
        <v>0</v>
      </c>
      <c r="BX22" s="80">
        <f t="shared" si="34"/>
        <v>0</v>
      </c>
      <c r="BY22" s="80">
        <f t="shared" si="34"/>
        <v>0</v>
      </c>
      <c r="BZ22" s="80">
        <f t="shared" si="34"/>
        <v>0</v>
      </c>
      <c r="CA22" s="80">
        <f t="shared" si="34"/>
        <v>0</v>
      </c>
      <c r="CB22" s="80">
        <f t="shared" si="34"/>
        <v>0</v>
      </c>
      <c r="CC22" s="80">
        <f t="shared" si="34"/>
        <v>0</v>
      </c>
      <c r="CD22" s="80">
        <f t="shared" si="34"/>
        <v>0</v>
      </c>
      <c r="CE22" s="80">
        <f t="shared" si="34"/>
        <v>0</v>
      </c>
      <c r="CF22" s="80">
        <f t="shared" si="34"/>
        <v>0</v>
      </c>
      <c r="CG22" s="87">
        <f t="shared" si="34"/>
        <v>0</v>
      </c>
      <c r="CH22" s="79"/>
    </row>
    <row r="23" spans="1:86" ht="12.75">
      <c r="A23" s="66" t="s">
        <v>101</v>
      </c>
      <c r="E23">
        <v>15</v>
      </c>
      <c r="F23" s="9">
        <f>INDEX(Pump_NodeSort,15)</f>
        <v>15</v>
      </c>
      <c r="G23" s="45" t="str">
        <f t="shared" si="7"/>
        <v>N</v>
      </c>
      <c r="H23" s="9" t="str">
        <f t="shared" si="8"/>
        <v>OPEN VALUES</v>
      </c>
      <c r="I23" s="9">
        <f t="shared" si="0"/>
        <v>1.02</v>
      </c>
      <c r="J23" s="5">
        <f>MAX(O20,O21)</f>
        <v>52.5</v>
      </c>
      <c r="K23" s="4">
        <f t="shared" si="1"/>
        <v>55.98</v>
      </c>
      <c r="L23" s="29">
        <f t="shared" si="2"/>
        <v>3.479999999999997</v>
      </c>
      <c r="M23" s="36">
        <v>0</v>
      </c>
      <c r="N23" s="5">
        <f t="shared" si="3"/>
        <v>52.5</v>
      </c>
      <c r="O23" s="29">
        <f t="shared" si="4"/>
        <v>53.52</v>
      </c>
      <c r="P23" s="9">
        <f>INDEX(Pump_ActRes,14,1)</f>
        <v>1</v>
      </c>
      <c r="Q23" s="71"/>
      <c r="R23" s="81">
        <f aca="true" t="shared" si="35" ref="R23:AW23">IF(AND(Pump_SchedStart&lt;Pump_T,Pump_SchedFinish&gt;=Pump_T),1,0)</f>
        <v>0</v>
      </c>
      <c r="S23" s="80">
        <f t="shared" si="35"/>
        <v>0</v>
      </c>
      <c r="T23" s="80">
        <f t="shared" si="35"/>
        <v>0</v>
      </c>
      <c r="U23" s="80">
        <f t="shared" si="35"/>
        <v>0</v>
      </c>
      <c r="V23" s="80">
        <f t="shared" si="35"/>
        <v>0</v>
      </c>
      <c r="W23" s="80">
        <f t="shared" si="35"/>
        <v>0</v>
      </c>
      <c r="X23" s="80">
        <f t="shared" si="35"/>
        <v>0</v>
      </c>
      <c r="Y23" s="80">
        <f t="shared" si="35"/>
        <v>0</v>
      </c>
      <c r="Z23" s="80">
        <f t="shared" si="35"/>
        <v>0</v>
      </c>
      <c r="AA23" s="80">
        <f t="shared" si="35"/>
        <v>0</v>
      </c>
      <c r="AB23" s="80">
        <f t="shared" si="35"/>
        <v>0</v>
      </c>
      <c r="AC23" s="80">
        <f t="shared" si="35"/>
        <v>0</v>
      </c>
      <c r="AD23" s="80">
        <f t="shared" si="35"/>
        <v>0</v>
      </c>
      <c r="AE23" s="80">
        <f t="shared" si="35"/>
        <v>0</v>
      </c>
      <c r="AF23" s="80">
        <f t="shared" si="35"/>
        <v>0</v>
      </c>
      <c r="AG23" s="80">
        <f t="shared" si="35"/>
        <v>0</v>
      </c>
      <c r="AH23" s="80">
        <f t="shared" si="35"/>
        <v>0</v>
      </c>
      <c r="AI23" s="80">
        <f t="shared" si="35"/>
        <v>0</v>
      </c>
      <c r="AJ23" s="80">
        <f t="shared" si="35"/>
        <v>0</v>
      </c>
      <c r="AK23" s="80">
        <f t="shared" si="35"/>
        <v>0</v>
      </c>
      <c r="AL23" s="80">
        <f t="shared" si="35"/>
        <v>0</v>
      </c>
      <c r="AM23" s="80">
        <f t="shared" si="35"/>
        <v>0</v>
      </c>
      <c r="AN23" s="80">
        <f t="shared" si="35"/>
        <v>0</v>
      </c>
      <c r="AO23" s="80">
        <f t="shared" si="35"/>
        <v>0</v>
      </c>
      <c r="AP23" s="80">
        <f t="shared" si="35"/>
        <v>0</v>
      </c>
      <c r="AQ23" s="80">
        <f t="shared" si="35"/>
        <v>0</v>
      </c>
      <c r="AR23" s="80">
        <f t="shared" si="35"/>
        <v>0</v>
      </c>
      <c r="AS23" s="80">
        <f t="shared" si="35"/>
        <v>0</v>
      </c>
      <c r="AT23" s="80">
        <f t="shared" si="35"/>
        <v>0</v>
      </c>
      <c r="AU23" s="80">
        <f t="shared" si="35"/>
        <v>0</v>
      </c>
      <c r="AV23" s="80">
        <f t="shared" si="35"/>
        <v>0</v>
      </c>
      <c r="AW23" s="80">
        <f t="shared" si="35"/>
        <v>0</v>
      </c>
      <c r="AX23" s="80">
        <f aca="true" t="shared" si="36" ref="AX23:CG23">IF(AND(Pump_SchedStart&lt;Pump_T,Pump_SchedFinish&gt;=Pump_T),1,0)</f>
        <v>0</v>
      </c>
      <c r="AY23" s="80">
        <f t="shared" si="36"/>
        <v>0</v>
      </c>
      <c r="AZ23" s="80">
        <f t="shared" si="36"/>
        <v>0</v>
      </c>
      <c r="BA23" s="80">
        <f t="shared" si="36"/>
        <v>0</v>
      </c>
      <c r="BB23" s="80">
        <f t="shared" si="36"/>
        <v>0</v>
      </c>
      <c r="BC23" s="80">
        <f t="shared" si="36"/>
        <v>0</v>
      </c>
      <c r="BD23" s="80">
        <f t="shared" si="36"/>
        <v>0</v>
      </c>
      <c r="BE23" s="80">
        <f t="shared" si="36"/>
        <v>0</v>
      </c>
      <c r="BF23" s="80">
        <f t="shared" si="36"/>
        <v>0</v>
      </c>
      <c r="BG23" s="80">
        <f t="shared" si="36"/>
        <v>0</v>
      </c>
      <c r="BH23" s="80">
        <f t="shared" si="36"/>
        <v>0</v>
      </c>
      <c r="BI23" s="80">
        <f t="shared" si="36"/>
        <v>0</v>
      </c>
      <c r="BJ23" s="80">
        <f t="shared" si="36"/>
        <v>0</v>
      </c>
      <c r="BK23" s="80">
        <f t="shared" si="36"/>
        <v>0</v>
      </c>
      <c r="BL23" s="80">
        <f t="shared" si="36"/>
        <v>0</v>
      </c>
      <c r="BM23" s="80">
        <f t="shared" si="36"/>
        <v>0</v>
      </c>
      <c r="BN23" s="80">
        <f t="shared" si="36"/>
        <v>0</v>
      </c>
      <c r="BO23" s="80">
        <f t="shared" si="36"/>
        <v>0</v>
      </c>
      <c r="BP23" s="80">
        <f t="shared" si="36"/>
        <v>0</v>
      </c>
      <c r="BQ23" s="80">
        <f t="shared" si="36"/>
        <v>0</v>
      </c>
      <c r="BR23" s="80">
        <f t="shared" si="36"/>
        <v>1</v>
      </c>
      <c r="BS23" s="80">
        <f t="shared" si="36"/>
        <v>0</v>
      </c>
      <c r="BT23" s="80">
        <f t="shared" si="36"/>
        <v>0</v>
      </c>
      <c r="BU23" s="80">
        <f t="shared" si="36"/>
        <v>0</v>
      </c>
      <c r="BV23" s="80">
        <f t="shared" si="36"/>
        <v>0</v>
      </c>
      <c r="BW23" s="80">
        <f t="shared" si="36"/>
        <v>0</v>
      </c>
      <c r="BX23" s="80">
        <f t="shared" si="36"/>
        <v>0</v>
      </c>
      <c r="BY23" s="80">
        <f t="shared" si="36"/>
        <v>0</v>
      </c>
      <c r="BZ23" s="80">
        <f t="shared" si="36"/>
        <v>0</v>
      </c>
      <c r="CA23" s="80">
        <f t="shared" si="36"/>
        <v>0</v>
      </c>
      <c r="CB23" s="80">
        <f t="shared" si="36"/>
        <v>0</v>
      </c>
      <c r="CC23" s="80">
        <f t="shared" si="36"/>
        <v>0</v>
      </c>
      <c r="CD23" s="80">
        <f t="shared" si="36"/>
        <v>0</v>
      </c>
      <c r="CE23" s="80">
        <f t="shared" si="36"/>
        <v>0</v>
      </c>
      <c r="CF23" s="80">
        <f t="shared" si="36"/>
        <v>0</v>
      </c>
      <c r="CG23" s="87">
        <f t="shared" si="36"/>
        <v>0</v>
      </c>
      <c r="CH23" s="79"/>
    </row>
    <row r="24" spans="1:86" ht="13.5" thickBot="1">
      <c r="A24" s="31" t="s">
        <v>35</v>
      </c>
      <c r="B24" s="4">
        <f>MAX(0,Pump_SchedLast-Pump_SchedEarly-Pump_SchedDelayProj)</f>
        <v>0</v>
      </c>
      <c r="E24">
        <v>16</v>
      </c>
      <c r="F24" s="10">
        <f>INDEX(Pump_NodeSort,16)</f>
        <v>16</v>
      </c>
      <c r="G24" s="46" t="s">
        <v>60</v>
      </c>
      <c r="H24" s="10" t="s">
        <v>60</v>
      </c>
      <c r="I24" s="10">
        <f t="shared" si="0"/>
        <v>0</v>
      </c>
      <c r="J24" s="7">
        <f>MAX(O22,O23)</f>
        <v>57</v>
      </c>
      <c r="K24" s="27">
        <f t="shared" si="1"/>
        <v>57</v>
      </c>
      <c r="L24" s="30">
        <f t="shared" si="2"/>
        <v>0</v>
      </c>
      <c r="M24" s="37">
        <v>0</v>
      </c>
      <c r="N24" s="7">
        <f t="shared" si="3"/>
        <v>57</v>
      </c>
      <c r="O24" s="30">
        <f t="shared" si="4"/>
        <v>57</v>
      </c>
      <c r="P24" s="10">
        <v>0</v>
      </c>
      <c r="Q24" s="78"/>
      <c r="R24" s="84">
        <f aca="true" t="shared" si="37" ref="R24:AW24">IF(AND(Pump_SchedStart&lt;Pump_T,Pump_SchedFinish&gt;=Pump_T),1,0)</f>
        <v>0</v>
      </c>
      <c r="S24" s="85">
        <f t="shared" si="37"/>
        <v>0</v>
      </c>
      <c r="T24" s="85">
        <f t="shared" si="37"/>
        <v>0</v>
      </c>
      <c r="U24" s="85">
        <f t="shared" si="37"/>
        <v>0</v>
      </c>
      <c r="V24" s="85">
        <f t="shared" si="37"/>
        <v>0</v>
      </c>
      <c r="W24" s="85">
        <f t="shared" si="37"/>
        <v>0</v>
      </c>
      <c r="X24" s="85">
        <f t="shared" si="37"/>
        <v>0</v>
      </c>
      <c r="Y24" s="85">
        <f t="shared" si="37"/>
        <v>0</v>
      </c>
      <c r="Z24" s="85">
        <f t="shared" si="37"/>
        <v>0</v>
      </c>
      <c r="AA24" s="85">
        <f t="shared" si="37"/>
        <v>0</v>
      </c>
      <c r="AB24" s="85">
        <f t="shared" si="37"/>
        <v>0</v>
      </c>
      <c r="AC24" s="85">
        <f t="shared" si="37"/>
        <v>0</v>
      </c>
      <c r="AD24" s="85">
        <f t="shared" si="37"/>
        <v>0</v>
      </c>
      <c r="AE24" s="85">
        <f t="shared" si="37"/>
        <v>0</v>
      </c>
      <c r="AF24" s="85">
        <f t="shared" si="37"/>
        <v>0</v>
      </c>
      <c r="AG24" s="85">
        <f t="shared" si="37"/>
        <v>0</v>
      </c>
      <c r="AH24" s="85">
        <f t="shared" si="37"/>
        <v>0</v>
      </c>
      <c r="AI24" s="85">
        <f t="shared" si="37"/>
        <v>0</v>
      </c>
      <c r="AJ24" s="85">
        <f t="shared" si="37"/>
        <v>0</v>
      </c>
      <c r="AK24" s="85">
        <f t="shared" si="37"/>
        <v>0</v>
      </c>
      <c r="AL24" s="85">
        <f t="shared" si="37"/>
        <v>0</v>
      </c>
      <c r="AM24" s="85">
        <f t="shared" si="37"/>
        <v>0</v>
      </c>
      <c r="AN24" s="85">
        <f t="shared" si="37"/>
        <v>0</v>
      </c>
      <c r="AO24" s="85">
        <f t="shared" si="37"/>
        <v>0</v>
      </c>
      <c r="AP24" s="85">
        <f t="shared" si="37"/>
        <v>0</v>
      </c>
      <c r="AQ24" s="85">
        <f t="shared" si="37"/>
        <v>0</v>
      </c>
      <c r="AR24" s="85">
        <f t="shared" si="37"/>
        <v>0</v>
      </c>
      <c r="AS24" s="85">
        <f t="shared" si="37"/>
        <v>0</v>
      </c>
      <c r="AT24" s="85">
        <f t="shared" si="37"/>
        <v>0</v>
      </c>
      <c r="AU24" s="85">
        <f t="shared" si="37"/>
        <v>0</v>
      </c>
      <c r="AV24" s="85">
        <f t="shared" si="37"/>
        <v>0</v>
      </c>
      <c r="AW24" s="85">
        <f t="shared" si="37"/>
        <v>0</v>
      </c>
      <c r="AX24" s="85">
        <f aca="true" t="shared" si="38" ref="AX24:CG24">IF(AND(Pump_SchedStart&lt;Pump_T,Pump_SchedFinish&gt;=Pump_T),1,0)</f>
        <v>0</v>
      </c>
      <c r="AY24" s="85">
        <f t="shared" si="38"/>
        <v>0</v>
      </c>
      <c r="AZ24" s="85">
        <f t="shared" si="38"/>
        <v>0</v>
      </c>
      <c r="BA24" s="85">
        <f t="shared" si="38"/>
        <v>0</v>
      </c>
      <c r="BB24" s="85">
        <f t="shared" si="38"/>
        <v>0</v>
      </c>
      <c r="BC24" s="85">
        <f t="shared" si="38"/>
        <v>0</v>
      </c>
      <c r="BD24" s="85">
        <f t="shared" si="38"/>
        <v>0</v>
      </c>
      <c r="BE24" s="85">
        <f t="shared" si="38"/>
        <v>0</v>
      </c>
      <c r="BF24" s="85">
        <f t="shared" si="38"/>
        <v>0</v>
      </c>
      <c r="BG24" s="85">
        <f t="shared" si="38"/>
        <v>0</v>
      </c>
      <c r="BH24" s="85">
        <f t="shared" si="38"/>
        <v>0</v>
      </c>
      <c r="BI24" s="85">
        <f t="shared" si="38"/>
        <v>0</v>
      </c>
      <c r="BJ24" s="85">
        <f t="shared" si="38"/>
        <v>0</v>
      </c>
      <c r="BK24" s="85">
        <f t="shared" si="38"/>
        <v>0</v>
      </c>
      <c r="BL24" s="85">
        <f t="shared" si="38"/>
        <v>0</v>
      </c>
      <c r="BM24" s="85">
        <f t="shared" si="38"/>
        <v>0</v>
      </c>
      <c r="BN24" s="85">
        <f t="shared" si="38"/>
        <v>0</v>
      </c>
      <c r="BO24" s="85">
        <f t="shared" si="38"/>
        <v>0</v>
      </c>
      <c r="BP24" s="85">
        <f t="shared" si="38"/>
        <v>0</v>
      </c>
      <c r="BQ24" s="85">
        <f t="shared" si="38"/>
        <v>0</v>
      </c>
      <c r="BR24" s="85">
        <f t="shared" si="38"/>
        <v>0</v>
      </c>
      <c r="BS24" s="85">
        <f t="shared" si="38"/>
        <v>0</v>
      </c>
      <c r="BT24" s="85">
        <f t="shared" si="38"/>
        <v>0</v>
      </c>
      <c r="BU24" s="85">
        <f t="shared" si="38"/>
        <v>0</v>
      </c>
      <c r="BV24" s="85">
        <f t="shared" si="38"/>
        <v>0</v>
      </c>
      <c r="BW24" s="85">
        <f t="shared" si="38"/>
        <v>0</v>
      </c>
      <c r="BX24" s="85">
        <f t="shared" si="38"/>
        <v>0</v>
      </c>
      <c r="BY24" s="85">
        <f t="shared" si="38"/>
        <v>0</v>
      </c>
      <c r="BZ24" s="85">
        <f t="shared" si="38"/>
        <v>0</v>
      </c>
      <c r="CA24" s="85">
        <f t="shared" si="38"/>
        <v>0</v>
      </c>
      <c r="CB24" s="85">
        <f t="shared" si="38"/>
        <v>0</v>
      </c>
      <c r="CC24" s="85">
        <f t="shared" si="38"/>
        <v>0</v>
      </c>
      <c r="CD24" s="85">
        <f t="shared" si="38"/>
        <v>0</v>
      </c>
      <c r="CE24" s="85">
        <f t="shared" si="38"/>
        <v>0</v>
      </c>
      <c r="CF24" s="85">
        <f t="shared" si="38"/>
        <v>0</v>
      </c>
      <c r="CG24" s="88">
        <f t="shared" si="38"/>
        <v>0</v>
      </c>
      <c r="CH24" s="79"/>
    </row>
    <row r="25" spans="1:17" ht="13.5" thickTop="1">
      <c r="A25" s="31" t="s">
        <v>70</v>
      </c>
      <c r="B25" s="4">
        <f>-SUMIF(Pump_SchedSlack,"&lt;0")</f>
        <v>0</v>
      </c>
      <c r="P25" s="66" t="s">
        <v>31</v>
      </c>
      <c r="Q25" s="38"/>
    </row>
    <row r="26" spans="1:85" ht="12.75">
      <c r="A26" s="31" t="s">
        <v>102</v>
      </c>
      <c r="B26" s="4" t="b">
        <f>AND(B24&lt;1/1000,B25&lt;1/1000)</f>
        <v>1</v>
      </c>
      <c r="P26" s="66" t="s">
        <v>84</v>
      </c>
      <c r="Q26" s="38" t="str">
        <f>INDEX(Pump_ActResName,1)</f>
        <v>Crew</v>
      </c>
      <c r="R26" s="92">
        <f>SUMPRODUCT(R9:R24,Pump_Res1)</f>
        <v>4</v>
      </c>
      <c r="S26" s="93">
        <f>SUMPRODUCT(S9:S24,Pump_Res1)</f>
        <v>10</v>
      </c>
      <c r="T26" s="93">
        <f>SUMPRODUCT(T9:T24,Pump_Res1)</f>
        <v>10</v>
      </c>
      <c r="U26" s="93">
        <f>SUMPRODUCT(U9:U24,Pump_Res1)</f>
        <v>10</v>
      </c>
      <c r="V26" s="93">
        <f>SUMPRODUCT(V9:V24,Pump_Res1)</f>
        <v>10</v>
      </c>
      <c r="W26" s="93">
        <f>SUMPRODUCT(W9:W24,Pump_Res1)</f>
        <v>10</v>
      </c>
      <c r="X26" s="93">
        <f>SUMPRODUCT(X9:X24,Pump_Res1)</f>
        <v>10</v>
      </c>
      <c r="Y26" s="93">
        <f>SUMPRODUCT(Y9:Y24,Pump_Res1)</f>
        <v>10</v>
      </c>
      <c r="Z26" s="93">
        <f>SUMPRODUCT(Z9:Z24,Pump_Res1)</f>
        <v>10</v>
      </c>
      <c r="AA26" s="93">
        <f>SUMPRODUCT(AA9:AA24,Pump_Res1)</f>
        <v>10</v>
      </c>
      <c r="AB26" s="93">
        <f>SUMPRODUCT(AB9:AB24,Pump_Res1)</f>
        <v>10</v>
      </c>
      <c r="AC26" s="93">
        <f>SUMPRODUCT(AC9:AC24,Pump_Res1)</f>
        <v>10</v>
      </c>
      <c r="AD26" s="93">
        <f>SUMPRODUCT(AD9:AD24,Pump_Res1)</f>
        <v>6</v>
      </c>
      <c r="AE26" s="93">
        <f>SUMPRODUCT(AE9:AE24,Pump_Res1)</f>
        <v>6</v>
      </c>
      <c r="AF26" s="93">
        <f>SUMPRODUCT(AF9:AF24,Pump_Res1)</f>
        <v>6</v>
      </c>
      <c r="AG26" s="93">
        <f>SUMPRODUCT(AG9:AG24,Pump_Res1)</f>
        <v>6</v>
      </c>
      <c r="AH26" s="93">
        <f>SUMPRODUCT(AH9:AH24,Pump_Res1)</f>
        <v>6</v>
      </c>
      <c r="AI26" s="93">
        <f>SUMPRODUCT(AI9:AI24,Pump_Res1)</f>
        <v>6</v>
      </c>
      <c r="AJ26" s="93">
        <f>SUMPRODUCT(AJ9:AJ24,Pump_Res1)</f>
        <v>6</v>
      </c>
      <c r="AK26" s="93">
        <f>SUMPRODUCT(AK9:AK24,Pump_Res1)</f>
        <v>6</v>
      </c>
      <c r="AL26" s="93">
        <f>SUMPRODUCT(AL9:AL24,Pump_Res1)</f>
        <v>6</v>
      </c>
      <c r="AM26" s="93">
        <f>SUMPRODUCT(AM9:AM24,Pump_Res1)</f>
        <v>6</v>
      </c>
      <c r="AN26" s="93">
        <f>SUMPRODUCT(AN9:AN24,Pump_Res1)</f>
        <v>6</v>
      </c>
      <c r="AO26" s="93">
        <f>SUMPRODUCT(AO9:AO24,Pump_Res1)</f>
        <v>6</v>
      </c>
      <c r="AP26" s="93">
        <f>SUMPRODUCT(AP9:AP24,Pump_Res1)</f>
        <v>6</v>
      </c>
      <c r="AQ26" s="93">
        <f>SUMPRODUCT(AQ9:AQ24,Pump_Res1)</f>
        <v>6</v>
      </c>
      <c r="AR26" s="93">
        <f>SUMPRODUCT(AR9:AR24,Pump_Res1)</f>
        <v>6</v>
      </c>
      <c r="AS26" s="93">
        <f>SUMPRODUCT(AS9:AS24,Pump_Res1)</f>
        <v>6</v>
      </c>
      <c r="AT26" s="93">
        <f>SUMPRODUCT(AT9:AT24,Pump_Res1)</f>
        <v>6</v>
      </c>
      <c r="AU26" s="93">
        <f>SUMPRODUCT(AU9:AU24,Pump_Res1)</f>
        <v>6</v>
      </c>
      <c r="AV26" s="93">
        <f>SUMPRODUCT(AV9:AV24,Pump_Res1)</f>
        <v>6</v>
      </c>
      <c r="AW26" s="93">
        <f>SUMPRODUCT(AW9:AW24,Pump_Res1)</f>
        <v>6</v>
      </c>
      <c r="AX26" s="93">
        <f>SUMPRODUCT(AX9:AX24,Pump_Res1)</f>
        <v>6</v>
      </c>
      <c r="AY26" s="93">
        <f>SUMPRODUCT(AY9:AY24,Pump_Res1)</f>
        <v>6</v>
      </c>
      <c r="AZ26" s="93">
        <f>SUMPRODUCT(AZ9:AZ24,Pump_Res1)</f>
        <v>6</v>
      </c>
      <c r="BA26" s="93">
        <f>SUMPRODUCT(BA9:BA24,Pump_Res1)</f>
        <v>6</v>
      </c>
      <c r="BB26" s="93">
        <f>SUMPRODUCT(BB9:BB24,Pump_Res1)</f>
        <v>9</v>
      </c>
      <c r="BC26" s="93">
        <f>SUMPRODUCT(BC9:BC24,Pump_Res1)</f>
        <v>9</v>
      </c>
      <c r="BD26" s="93">
        <f>SUMPRODUCT(BD9:BD24,Pump_Res1)</f>
        <v>9</v>
      </c>
      <c r="BE26" s="93">
        <f>SUMPRODUCT(BE9:BE24,Pump_Res1)</f>
        <v>9</v>
      </c>
      <c r="BF26" s="93">
        <f>SUMPRODUCT(BF9:BF24,Pump_Res1)</f>
        <v>9</v>
      </c>
      <c r="BG26" s="93">
        <f>SUMPRODUCT(BG9:BG24,Pump_Res1)</f>
        <v>12</v>
      </c>
      <c r="BH26" s="93">
        <f>SUMPRODUCT(BH9:BH24,Pump_Res1)</f>
        <v>8</v>
      </c>
      <c r="BI26" s="93">
        <f>SUMPRODUCT(BI9:BI24,Pump_Res1)</f>
        <v>8</v>
      </c>
      <c r="BJ26" s="93">
        <f>SUMPRODUCT(BJ9:BJ24,Pump_Res1)</f>
        <v>8</v>
      </c>
      <c r="BK26" s="93">
        <f>SUMPRODUCT(BK9:BK24,Pump_Res1)</f>
        <v>8</v>
      </c>
      <c r="BL26" s="93">
        <f>SUMPRODUCT(BL9:BL24,Pump_Res1)</f>
        <v>6</v>
      </c>
      <c r="BM26" s="93">
        <f>SUMPRODUCT(BM9:BM24,Pump_Res1)</f>
        <v>6</v>
      </c>
      <c r="BN26" s="93">
        <f>SUMPRODUCT(BN9:BN24,Pump_Res1)</f>
        <v>6</v>
      </c>
      <c r="BO26" s="93">
        <f>SUMPRODUCT(BO9:BO24,Pump_Res1)</f>
        <v>6</v>
      </c>
      <c r="BP26" s="93">
        <f>SUMPRODUCT(BP9:BP24,Pump_Res1)</f>
        <v>6</v>
      </c>
      <c r="BQ26" s="93">
        <f>SUMPRODUCT(BQ9:BQ24,Pump_Res1)</f>
        <v>3</v>
      </c>
      <c r="BR26" s="93">
        <f>SUMPRODUCT(BR9:BR24,Pump_Res1)</f>
        <v>3</v>
      </c>
      <c r="BS26" s="93">
        <f>SUMPRODUCT(BS9:BS24,Pump_Res1)</f>
        <v>2</v>
      </c>
      <c r="BT26" s="93">
        <f>SUMPRODUCT(BT9:BT24,Pump_Res1)</f>
        <v>2</v>
      </c>
      <c r="BU26" s="93">
        <f>SUMPRODUCT(BU9:BU24,Pump_Res1)</f>
        <v>2</v>
      </c>
      <c r="BV26" s="93">
        <f>SUMPRODUCT(BV9:BV24,Pump_Res1)</f>
        <v>2</v>
      </c>
      <c r="BW26" s="93">
        <f>SUMPRODUCT(BW9:BW24,Pump_Res1)</f>
        <v>0</v>
      </c>
      <c r="BX26" s="93">
        <f>SUMPRODUCT(BX9:BX24,Pump_Res1)</f>
        <v>0</v>
      </c>
      <c r="BY26" s="93">
        <f>SUMPRODUCT(BY9:BY24,Pump_Res1)</f>
        <v>0</v>
      </c>
      <c r="BZ26" s="93">
        <f>SUMPRODUCT(BZ9:BZ24,Pump_Res1)</f>
        <v>0</v>
      </c>
      <c r="CA26" s="93">
        <f>SUMPRODUCT(CA9:CA24,Pump_Res1)</f>
        <v>0</v>
      </c>
      <c r="CB26" s="93">
        <f>SUMPRODUCT(CB9:CB24,Pump_Res1)</f>
        <v>0</v>
      </c>
      <c r="CC26" s="93">
        <f>SUMPRODUCT(CC9:CC24,Pump_Res1)</f>
        <v>0</v>
      </c>
      <c r="CD26" s="93">
        <f>SUMPRODUCT(CD9:CD24,Pump_Res1)</f>
        <v>0</v>
      </c>
      <c r="CE26" s="93">
        <f>SUMPRODUCT(CE9:CE24,Pump_Res1)</f>
        <v>0</v>
      </c>
      <c r="CF26" s="93">
        <f>SUMPRODUCT(CF9:CF24,Pump_Res1)</f>
        <v>0</v>
      </c>
      <c r="CG26" s="94">
        <f>SUMPRODUCT(CG9:CG24,Pump_Res1)</f>
        <v>0</v>
      </c>
    </row>
    <row r="27" spans="16:85" ht="12.75">
      <c r="P27" s="66" t="s">
        <v>85</v>
      </c>
      <c r="Q27" s="38" t="str">
        <f>INDEX(Pump_ActResName,1)</f>
        <v>Crew</v>
      </c>
      <c r="R27" s="89">
        <f aca="true" t="shared" si="39" ref="R27:AW27">INDEX(Pump_ResAvail,1)</f>
        <v>8</v>
      </c>
      <c r="S27" s="90">
        <f t="shared" si="39"/>
        <v>8</v>
      </c>
      <c r="T27" s="90">
        <f t="shared" si="39"/>
        <v>8</v>
      </c>
      <c r="U27" s="90">
        <f t="shared" si="39"/>
        <v>8</v>
      </c>
      <c r="V27" s="90">
        <f t="shared" si="39"/>
        <v>8</v>
      </c>
      <c r="W27" s="90">
        <f t="shared" si="39"/>
        <v>8</v>
      </c>
      <c r="X27" s="90">
        <f t="shared" si="39"/>
        <v>8</v>
      </c>
      <c r="Y27" s="90">
        <f t="shared" si="39"/>
        <v>8</v>
      </c>
      <c r="Z27" s="90">
        <f t="shared" si="39"/>
        <v>8</v>
      </c>
      <c r="AA27" s="90">
        <f t="shared" si="39"/>
        <v>8</v>
      </c>
      <c r="AB27" s="90">
        <f t="shared" si="39"/>
        <v>8</v>
      </c>
      <c r="AC27" s="90">
        <f t="shared" si="39"/>
        <v>8</v>
      </c>
      <c r="AD27" s="90">
        <f t="shared" si="39"/>
        <v>8</v>
      </c>
      <c r="AE27" s="90">
        <f t="shared" si="39"/>
        <v>8</v>
      </c>
      <c r="AF27" s="90">
        <f t="shared" si="39"/>
        <v>8</v>
      </c>
      <c r="AG27" s="90">
        <f t="shared" si="39"/>
        <v>8</v>
      </c>
      <c r="AH27" s="90">
        <f t="shared" si="39"/>
        <v>8</v>
      </c>
      <c r="AI27" s="90">
        <f t="shared" si="39"/>
        <v>8</v>
      </c>
      <c r="AJ27" s="90">
        <f t="shared" si="39"/>
        <v>8</v>
      </c>
      <c r="AK27" s="90">
        <f t="shared" si="39"/>
        <v>8</v>
      </c>
      <c r="AL27" s="90">
        <f t="shared" si="39"/>
        <v>8</v>
      </c>
      <c r="AM27" s="90">
        <f t="shared" si="39"/>
        <v>8</v>
      </c>
      <c r="AN27" s="90">
        <f t="shared" si="39"/>
        <v>8</v>
      </c>
      <c r="AO27" s="90">
        <f t="shared" si="39"/>
        <v>8</v>
      </c>
      <c r="AP27" s="90">
        <f t="shared" si="39"/>
        <v>8</v>
      </c>
      <c r="AQ27" s="90">
        <f t="shared" si="39"/>
        <v>8</v>
      </c>
      <c r="AR27" s="90">
        <f t="shared" si="39"/>
        <v>8</v>
      </c>
      <c r="AS27" s="90">
        <f t="shared" si="39"/>
        <v>8</v>
      </c>
      <c r="AT27" s="90">
        <f t="shared" si="39"/>
        <v>8</v>
      </c>
      <c r="AU27" s="90">
        <f t="shared" si="39"/>
        <v>8</v>
      </c>
      <c r="AV27" s="90">
        <f t="shared" si="39"/>
        <v>8</v>
      </c>
      <c r="AW27" s="90">
        <f t="shared" si="39"/>
        <v>8</v>
      </c>
      <c r="AX27" s="90">
        <f aca="true" t="shared" si="40" ref="AX27:CG27">INDEX(Pump_ResAvail,1)</f>
        <v>8</v>
      </c>
      <c r="AY27" s="90">
        <f t="shared" si="40"/>
        <v>8</v>
      </c>
      <c r="AZ27" s="90">
        <f t="shared" si="40"/>
        <v>8</v>
      </c>
      <c r="BA27" s="90">
        <f t="shared" si="40"/>
        <v>8</v>
      </c>
      <c r="BB27" s="90">
        <f t="shared" si="40"/>
        <v>8</v>
      </c>
      <c r="BC27" s="90">
        <f t="shared" si="40"/>
        <v>8</v>
      </c>
      <c r="BD27" s="90">
        <f t="shared" si="40"/>
        <v>8</v>
      </c>
      <c r="BE27" s="90">
        <f t="shared" si="40"/>
        <v>8</v>
      </c>
      <c r="BF27" s="90">
        <f t="shared" si="40"/>
        <v>8</v>
      </c>
      <c r="BG27" s="90">
        <f t="shared" si="40"/>
        <v>8</v>
      </c>
      <c r="BH27" s="90">
        <f t="shared" si="40"/>
        <v>8</v>
      </c>
      <c r="BI27" s="90">
        <f t="shared" si="40"/>
        <v>8</v>
      </c>
      <c r="BJ27" s="90">
        <f t="shared" si="40"/>
        <v>8</v>
      </c>
      <c r="BK27" s="90">
        <f t="shared" si="40"/>
        <v>8</v>
      </c>
      <c r="BL27" s="90">
        <f t="shared" si="40"/>
        <v>8</v>
      </c>
      <c r="BM27" s="90">
        <f t="shared" si="40"/>
        <v>8</v>
      </c>
      <c r="BN27" s="90">
        <f t="shared" si="40"/>
        <v>8</v>
      </c>
      <c r="BO27" s="90">
        <f t="shared" si="40"/>
        <v>8</v>
      </c>
      <c r="BP27" s="90">
        <f t="shared" si="40"/>
        <v>8</v>
      </c>
      <c r="BQ27" s="90">
        <f t="shared" si="40"/>
        <v>8</v>
      </c>
      <c r="BR27" s="90">
        <f t="shared" si="40"/>
        <v>8</v>
      </c>
      <c r="BS27" s="90">
        <f t="shared" si="40"/>
        <v>8</v>
      </c>
      <c r="BT27" s="90">
        <f t="shared" si="40"/>
        <v>8</v>
      </c>
      <c r="BU27" s="90">
        <f t="shared" si="40"/>
        <v>8</v>
      </c>
      <c r="BV27" s="90">
        <f t="shared" si="40"/>
        <v>8</v>
      </c>
      <c r="BW27" s="90">
        <f t="shared" si="40"/>
        <v>8</v>
      </c>
      <c r="BX27" s="90">
        <f t="shared" si="40"/>
        <v>8</v>
      </c>
      <c r="BY27" s="90">
        <f t="shared" si="40"/>
        <v>8</v>
      </c>
      <c r="BZ27" s="90">
        <f t="shared" si="40"/>
        <v>8</v>
      </c>
      <c r="CA27" s="90">
        <f t="shared" si="40"/>
        <v>8</v>
      </c>
      <c r="CB27" s="90">
        <f t="shared" si="40"/>
        <v>8</v>
      </c>
      <c r="CC27" s="90">
        <f t="shared" si="40"/>
        <v>8</v>
      </c>
      <c r="CD27" s="90">
        <f t="shared" si="40"/>
        <v>8</v>
      </c>
      <c r="CE27" s="90">
        <f t="shared" si="40"/>
        <v>8</v>
      </c>
      <c r="CF27" s="90">
        <f t="shared" si="40"/>
        <v>8</v>
      </c>
      <c r="CG27" s="91">
        <f t="shared" si="40"/>
        <v>8</v>
      </c>
    </row>
    <row r="28" spans="16:85" ht="12.75">
      <c r="P28" s="66" t="s">
        <v>86</v>
      </c>
      <c r="Q28" s="38" t="str">
        <f>INDEX(Pump_ActResName,1)</f>
        <v>Crew</v>
      </c>
      <c r="R28" s="92">
        <f aca="true" t="shared" si="41" ref="R28:AW28">MAX(0,R26-R27)</f>
        <v>0</v>
      </c>
      <c r="S28" s="93">
        <f t="shared" si="41"/>
        <v>2</v>
      </c>
      <c r="T28" s="93">
        <f t="shared" si="41"/>
        <v>2</v>
      </c>
      <c r="U28" s="93">
        <f t="shared" si="41"/>
        <v>2</v>
      </c>
      <c r="V28" s="93">
        <f t="shared" si="41"/>
        <v>2</v>
      </c>
      <c r="W28" s="93">
        <f t="shared" si="41"/>
        <v>2</v>
      </c>
      <c r="X28" s="93">
        <f t="shared" si="41"/>
        <v>2</v>
      </c>
      <c r="Y28" s="93">
        <f t="shared" si="41"/>
        <v>2</v>
      </c>
      <c r="Z28" s="93">
        <f t="shared" si="41"/>
        <v>2</v>
      </c>
      <c r="AA28" s="93">
        <f t="shared" si="41"/>
        <v>2</v>
      </c>
      <c r="AB28" s="93">
        <f t="shared" si="41"/>
        <v>2</v>
      </c>
      <c r="AC28" s="93">
        <f t="shared" si="41"/>
        <v>2</v>
      </c>
      <c r="AD28" s="93">
        <f t="shared" si="41"/>
        <v>0</v>
      </c>
      <c r="AE28" s="93">
        <f t="shared" si="41"/>
        <v>0</v>
      </c>
      <c r="AF28" s="93">
        <f t="shared" si="41"/>
        <v>0</v>
      </c>
      <c r="AG28" s="93">
        <f t="shared" si="41"/>
        <v>0</v>
      </c>
      <c r="AH28" s="93">
        <f t="shared" si="41"/>
        <v>0</v>
      </c>
      <c r="AI28" s="93">
        <f t="shared" si="41"/>
        <v>0</v>
      </c>
      <c r="AJ28" s="93">
        <f t="shared" si="41"/>
        <v>0</v>
      </c>
      <c r="AK28" s="93">
        <f t="shared" si="41"/>
        <v>0</v>
      </c>
      <c r="AL28" s="93">
        <f t="shared" si="41"/>
        <v>0</v>
      </c>
      <c r="AM28" s="93">
        <f t="shared" si="41"/>
        <v>0</v>
      </c>
      <c r="AN28" s="93">
        <f t="shared" si="41"/>
        <v>0</v>
      </c>
      <c r="AO28" s="93">
        <f t="shared" si="41"/>
        <v>0</v>
      </c>
      <c r="AP28" s="93">
        <f t="shared" si="41"/>
        <v>0</v>
      </c>
      <c r="AQ28" s="93">
        <f t="shared" si="41"/>
        <v>0</v>
      </c>
      <c r="AR28" s="93">
        <f t="shared" si="41"/>
        <v>0</v>
      </c>
      <c r="AS28" s="93">
        <f t="shared" si="41"/>
        <v>0</v>
      </c>
      <c r="AT28" s="93">
        <f t="shared" si="41"/>
        <v>0</v>
      </c>
      <c r="AU28" s="93">
        <f t="shared" si="41"/>
        <v>0</v>
      </c>
      <c r="AV28" s="93">
        <f t="shared" si="41"/>
        <v>0</v>
      </c>
      <c r="AW28" s="93">
        <f t="shared" si="41"/>
        <v>0</v>
      </c>
      <c r="AX28" s="93">
        <f aca="true" t="shared" si="42" ref="AX28:CC28">MAX(0,AX26-AX27)</f>
        <v>0</v>
      </c>
      <c r="AY28" s="93">
        <f t="shared" si="42"/>
        <v>0</v>
      </c>
      <c r="AZ28" s="93">
        <f t="shared" si="42"/>
        <v>0</v>
      </c>
      <c r="BA28" s="93">
        <f t="shared" si="42"/>
        <v>0</v>
      </c>
      <c r="BB28" s="93">
        <f t="shared" si="42"/>
        <v>1</v>
      </c>
      <c r="BC28" s="93">
        <f t="shared" si="42"/>
        <v>1</v>
      </c>
      <c r="BD28" s="93">
        <f t="shared" si="42"/>
        <v>1</v>
      </c>
      <c r="BE28" s="93">
        <f t="shared" si="42"/>
        <v>1</v>
      </c>
      <c r="BF28" s="93">
        <f t="shared" si="42"/>
        <v>1</v>
      </c>
      <c r="BG28" s="93">
        <f t="shared" si="42"/>
        <v>4</v>
      </c>
      <c r="BH28" s="93">
        <f t="shared" si="42"/>
        <v>0</v>
      </c>
      <c r="BI28" s="93">
        <f t="shared" si="42"/>
        <v>0</v>
      </c>
      <c r="BJ28" s="93">
        <f t="shared" si="42"/>
        <v>0</v>
      </c>
      <c r="BK28" s="93">
        <f t="shared" si="42"/>
        <v>0</v>
      </c>
      <c r="BL28" s="93">
        <f t="shared" si="42"/>
        <v>0</v>
      </c>
      <c r="BM28" s="93">
        <f t="shared" si="42"/>
        <v>0</v>
      </c>
      <c r="BN28" s="93">
        <f t="shared" si="42"/>
        <v>0</v>
      </c>
      <c r="BO28" s="93">
        <f t="shared" si="42"/>
        <v>0</v>
      </c>
      <c r="BP28" s="93">
        <f t="shared" si="42"/>
        <v>0</v>
      </c>
      <c r="BQ28" s="93">
        <f t="shared" si="42"/>
        <v>0</v>
      </c>
      <c r="BR28" s="93">
        <f t="shared" si="42"/>
        <v>0</v>
      </c>
      <c r="BS28" s="93">
        <f t="shared" si="42"/>
        <v>0</v>
      </c>
      <c r="BT28" s="93">
        <f t="shared" si="42"/>
        <v>0</v>
      </c>
      <c r="BU28" s="93">
        <f t="shared" si="42"/>
        <v>0</v>
      </c>
      <c r="BV28" s="93">
        <f t="shared" si="42"/>
        <v>0</v>
      </c>
      <c r="BW28" s="93">
        <f t="shared" si="42"/>
        <v>0</v>
      </c>
      <c r="BX28" s="93">
        <f t="shared" si="42"/>
        <v>0</v>
      </c>
      <c r="BY28" s="93">
        <f t="shared" si="42"/>
        <v>0</v>
      </c>
      <c r="BZ28" s="93">
        <f t="shared" si="42"/>
        <v>0</v>
      </c>
      <c r="CA28" s="93">
        <f t="shared" si="42"/>
        <v>0</v>
      </c>
      <c r="CB28" s="93">
        <f t="shared" si="42"/>
        <v>0</v>
      </c>
      <c r="CC28" s="93">
        <f t="shared" si="42"/>
        <v>0</v>
      </c>
      <c r="CD28" s="93">
        <f>MAX(0,CD26-CD27)</f>
        <v>0</v>
      </c>
      <c r="CE28" s="93">
        <f>MAX(0,CE26-CE27)</f>
        <v>0</v>
      </c>
      <c r="CF28" s="93">
        <f>MAX(0,CF26-CF27)</f>
        <v>0</v>
      </c>
      <c r="CG28" s="94">
        <f>MAX(0,CG26-CG27)</f>
        <v>0</v>
      </c>
    </row>
    <row r="29" spans="16:85" ht="12.75">
      <c r="P29" s="66" t="s">
        <v>87</v>
      </c>
      <c r="Q29" s="38" t="str">
        <f>INDEX(Pump_ActResName,1)</f>
        <v>Crew</v>
      </c>
      <c r="R29" s="89">
        <f aca="true" t="shared" si="43" ref="R29:AW29">INDEX(Pump_ResShortCost,1)</f>
        <v>1</v>
      </c>
      <c r="S29" s="90">
        <f t="shared" si="43"/>
        <v>1</v>
      </c>
      <c r="T29" s="90">
        <f t="shared" si="43"/>
        <v>1</v>
      </c>
      <c r="U29" s="90">
        <f t="shared" si="43"/>
        <v>1</v>
      </c>
      <c r="V29" s="90">
        <f t="shared" si="43"/>
        <v>1</v>
      </c>
      <c r="W29" s="90">
        <f t="shared" si="43"/>
        <v>1</v>
      </c>
      <c r="X29" s="90">
        <f t="shared" si="43"/>
        <v>1</v>
      </c>
      <c r="Y29" s="90">
        <f t="shared" si="43"/>
        <v>1</v>
      </c>
      <c r="Z29" s="90">
        <f t="shared" si="43"/>
        <v>1</v>
      </c>
      <c r="AA29" s="90">
        <f t="shared" si="43"/>
        <v>1</v>
      </c>
      <c r="AB29" s="90">
        <f t="shared" si="43"/>
        <v>1</v>
      </c>
      <c r="AC29" s="90">
        <f t="shared" si="43"/>
        <v>1</v>
      </c>
      <c r="AD29" s="90">
        <f t="shared" si="43"/>
        <v>1</v>
      </c>
      <c r="AE29" s="90">
        <f t="shared" si="43"/>
        <v>1</v>
      </c>
      <c r="AF29" s="90">
        <f t="shared" si="43"/>
        <v>1</v>
      </c>
      <c r="AG29" s="90">
        <f t="shared" si="43"/>
        <v>1</v>
      </c>
      <c r="AH29" s="90">
        <f t="shared" si="43"/>
        <v>1</v>
      </c>
      <c r="AI29" s="90">
        <f t="shared" si="43"/>
        <v>1</v>
      </c>
      <c r="AJ29" s="90">
        <f t="shared" si="43"/>
        <v>1</v>
      </c>
      <c r="AK29" s="90">
        <f t="shared" si="43"/>
        <v>1</v>
      </c>
      <c r="AL29" s="90">
        <f t="shared" si="43"/>
        <v>1</v>
      </c>
      <c r="AM29" s="90">
        <f t="shared" si="43"/>
        <v>1</v>
      </c>
      <c r="AN29" s="90">
        <f t="shared" si="43"/>
        <v>1</v>
      </c>
      <c r="AO29" s="90">
        <f t="shared" si="43"/>
        <v>1</v>
      </c>
      <c r="AP29" s="90">
        <f t="shared" si="43"/>
        <v>1</v>
      </c>
      <c r="AQ29" s="90">
        <f t="shared" si="43"/>
        <v>1</v>
      </c>
      <c r="AR29" s="90">
        <f t="shared" si="43"/>
        <v>1</v>
      </c>
      <c r="AS29" s="90">
        <f t="shared" si="43"/>
        <v>1</v>
      </c>
      <c r="AT29" s="90">
        <f t="shared" si="43"/>
        <v>1</v>
      </c>
      <c r="AU29" s="90">
        <f t="shared" si="43"/>
        <v>1</v>
      </c>
      <c r="AV29" s="90">
        <f t="shared" si="43"/>
        <v>1</v>
      </c>
      <c r="AW29" s="90">
        <f t="shared" si="43"/>
        <v>1</v>
      </c>
      <c r="AX29" s="90">
        <f aca="true" t="shared" si="44" ref="AX29:CG29">INDEX(Pump_ResShortCost,1)</f>
        <v>1</v>
      </c>
      <c r="AY29" s="90">
        <f t="shared" si="44"/>
        <v>1</v>
      </c>
      <c r="AZ29" s="90">
        <f t="shared" si="44"/>
        <v>1</v>
      </c>
      <c r="BA29" s="90">
        <f t="shared" si="44"/>
        <v>1</v>
      </c>
      <c r="BB29" s="90">
        <f t="shared" si="44"/>
        <v>1</v>
      </c>
      <c r="BC29" s="90">
        <f t="shared" si="44"/>
        <v>1</v>
      </c>
      <c r="BD29" s="90">
        <f t="shared" si="44"/>
        <v>1</v>
      </c>
      <c r="BE29" s="90">
        <f t="shared" si="44"/>
        <v>1</v>
      </c>
      <c r="BF29" s="90">
        <f t="shared" si="44"/>
        <v>1</v>
      </c>
      <c r="BG29" s="90">
        <f t="shared" si="44"/>
        <v>1</v>
      </c>
      <c r="BH29" s="90">
        <f t="shared" si="44"/>
        <v>1</v>
      </c>
      <c r="BI29" s="90">
        <f t="shared" si="44"/>
        <v>1</v>
      </c>
      <c r="BJ29" s="90">
        <f t="shared" si="44"/>
        <v>1</v>
      </c>
      <c r="BK29" s="90">
        <f t="shared" si="44"/>
        <v>1</v>
      </c>
      <c r="BL29" s="90">
        <f t="shared" si="44"/>
        <v>1</v>
      </c>
      <c r="BM29" s="90">
        <f t="shared" si="44"/>
        <v>1</v>
      </c>
      <c r="BN29" s="90">
        <f t="shared" si="44"/>
        <v>1</v>
      </c>
      <c r="BO29" s="90">
        <f t="shared" si="44"/>
        <v>1</v>
      </c>
      <c r="BP29" s="90">
        <f t="shared" si="44"/>
        <v>1</v>
      </c>
      <c r="BQ29" s="90">
        <f t="shared" si="44"/>
        <v>1</v>
      </c>
      <c r="BR29" s="90">
        <f t="shared" si="44"/>
        <v>1</v>
      </c>
      <c r="BS29" s="90">
        <f t="shared" si="44"/>
        <v>1</v>
      </c>
      <c r="BT29" s="90">
        <f t="shared" si="44"/>
        <v>1</v>
      </c>
      <c r="BU29" s="90">
        <f t="shared" si="44"/>
        <v>1</v>
      </c>
      <c r="BV29" s="90">
        <f t="shared" si="44"/>
        <v>1</v>
      </c>
      <c r="BW29" s="90">
        <f t="shared" si="44"/>
        <v>1</v>
      </c>
      <c r="BX29" s="90">
        <f t="shared" si="44"/>
        <v>1</v>
      </c>
      <c r="BY29" s="90">
        <f t="shared" si="44"/>
        <v>1</v>
      </c>
      <c r="BZ29" s="90">
        <f t="shared" si="44"/>
        <v>1</v>
      </c>
      <c r="CA29" s="90">
        <f t="shared" si="44"/>
        <v>1</v>
      </c>
      <c r="CB29" s="90">
        <f t="shared" si="44"/>
        <v>1</v>
      </c>
      <c r="CC29" s="90">
        <f t="shared" si="44"/>
        <v>1</v>
      </c>
      <c r="CD29" s="90">
        <f t="shared" si="44"/>
        <v>1</v>
      </c>
      <c r="CE29" s="90">
        <f t="shared" si="44"/>
        <v>1</v>
      </c>
      <c r="CF29" s="90">
        <f t="shared" si="44"/>
        <v>1</v>
      </c>
      <c r="CG29" s="91">
        <f t="shared" si="44"/>
        <v>1</v>
      </c>
    </row>
    <row r="30" spans="16:85" ht="12.75">
      <c r="P30" s="66" t="s">
        <v>88</v>
      </c>
      <c r="Q30" s="38" t="str">
        <f>INDEX(Pump_ActResName,1)</f>
        <v>Crew</v>
      </c>
      <c r="R30" s="92">
        <f aca="true" t="shared" si="45" ref="R30:AW30">R28*R29</f>
        <v>0</v>
      </c>
      <c r="S30" s="93">
        <f t="shared" si="45"/>
        <v>2</v>
      </c>
      <c r="T30" s="93">
        <f t="shared" si="45"/>
        <v>2</v>
      </c>
      <c r="U30" s="93">
        <f t="shared" si="45"/>
        <v>2</v>
      </c>
      <c r="V30" s="93">
        <f t="shared" si="45"/>
        <v>2</v>
      </c>
      <c r="W30" s="93">
        <f t="shared" si="45"/>
        <v>2</v>
      </c>
      <c r="X30" s="93">
        <f t="shared" si="45"/>
        <v>2</v>
      </c>
      <c r="Y30" s="93">
        <f t="shared" si="45"/>
        <v>2</v>
      </c>
      <c r="Z30" s="93">
        <f t="shared" si="45"/>
        <v>2</v>
      </c>
      <c r="AA30" s="93">
        <f t="shared" si="45"/>
        <v>2</v>
      </c>
      <c r="AB30" s="93">
        <f t="shared" si="45"/>
        <v>2</v>
      </c>
      <c r="AC30" s="93">
        <f t="shared" si="45"/>
        <v>2</v>
      </c>
      <c r="AD30" s="93">
        <f t="shared" si="45"/>
        <v>0</v>
      </c>
      <c r="AE30" s="93">
        <f t="shared" si="45"/>
        <v>0</v>
      </c>
      <c r="AF30" s="93">
        <f t="shared" si="45"/>
        <v>0</v>
      </c>
      <c r="AG30" s="93">
        <f t="shared" si="45"/>
        <v>0</v>
      </c>
      <c r="AH30" s="93">
        <f t="shared" si="45"/>
        <v>0</v>
      </c>
      <c r="AI30" s="93">
        <f t="shared" si="45"/>
        <v>0</v>
      </c>
      <c r="AJ30" s="93">
        <f t="shared" si="45"/>
        <v>0</v>
      </c>
      <c r="AK30" s="93">
        <f t="shared" si="45"/>
        <v>0</v>
      </c>
      <c r="AL30" s="93">
        <f t="shared" si="45"/>
        <v>0</v>
      </c>
      <c r="AM30" s="93">
        <f t="shared" si="45"/>
        <v>0</v>
      </c>
      <c r="AN30" s="93">
        <f t="shared" si="45"/>
        <v>0</v>
      </c>
      <c r="AO30" s="93">
        <f t="shared" si="45"/>
        <v>0</v>
      </c>
      <c r="AP30" s="93">
        <f t="shared" si="45"/>
        <v>0</v>
      </c>
      <c r="AQ30" s="93">
        <f t="shared" si="45"/>
        <v>0</v>
      </c>
      <c r="AR30" s="93">
        <f t="shared" si="45"/>
        <v>0</v>
      </c>
      <c r="AS30" s="93">
        <f t="shared" si="45"/>
        <v>0</v>
      </c>
      <c r="AT30" s="93">
        <f t="shared" si="45"/>
        <v>0</v>
      </c>
      <c r="AU30" s="93">
        <f t="shared" si="45"/>
        <v>0</v>
      </c>
      <c r="AV30" s="93">
        <f t="shared" si="45"/>
        <v>0</v>
      </c>
      <c r="AW30" s="93">
        <f t="shared" si="45"/>
        <v>0</v>
      </c>
      <c r="AX30" s="93">
        <f aca="true" t="shared" si="46" ref="AX30:CC30">AX28*AX29</f>
        <v>0</v>
      </c>
      <c r="AY30" s="93">
        <f t="shared" si="46"/>
        <v>0</v>
      </c>
      <c r="AZ30" s="93">
        <f t="shared" si="46"/>
        <v>0</v>
      </c>
      <c r="BA30" s="93">
        <f t="shared" si="46"/>
        <v>0</v>
      </c>
      <c r="BB30" s="93">
        <f t="shared" si="46"/>
        <v>1</v>
      </c>
      <c r="BC30" s="93">
        <f t="shared" si="46"/>
        <v>1</v>
      </c>
      <c r="BD30" s="93">
        <f t="shared" si="46"/>
        <v>1</v>
      </c>
      <c r="BE30" s="93">
        <f t="shared" si="46"/>
        <v>1</v>
      </c>
      <c r="BF30" s="93">
        <f t="shared" si="46"/>
        <v>1</v>
      </c>
      <c r="BG30" s="93">
        <f t="shared" si="46"/>
        <v>4</v>
      </c>
      <c r="BH30" s="93">
        <f t="shared" si="46"/>
        <v>0</v>
      </c>
      <c r="BI30" s="93">
        <f t="shared" si="46"/>
        <v>0</v>
      </c>
      <c r="BJ30" s="93">
        <f t="shared" si="46"/>
        <v>0</v>
      </c>
      <c r="BK30" s="93">
        <f t="shared" si="46"/>
        <v>0</v>
      </c>
      <c r="BL30" s="93">
        <f t="shared" si="46"/>
        <v>0</v>
      </c>
      <c r="BM30" s="93">
        <f t="shared" si="46"/>
        <v>0</v>
      </c>
      <c r="BN30" s="93">
        <f t="shared" si="46"/>
        <v>0</v>
      </c>
      <c r="BO30" s="93">
        <f t="shared" si="46"/>
        <v>0</v>
      </c>
      <c r="BP30" s="93">
        <f t="shared" si="46"/>
        <v>0</v>
      </c>
      <c r="BQ30" s="93">
        <f t="shared" si="46"/>
        <v>0</v>
      </c>
      <c r="BR30" s="93">
        <f t="shared" si="46"/>
        <v>0</v>
      </c>
      <c r="BS30" s="93">
        <f t="shared" si="46"/>
        <v>0</v>
      </c>
      <c r="BT30" s="93">
        <f t="shared" si="46"/>
        <v>0</v>
      </c>
      <c r="BU30" s="93">
        <f t="shared" si="46"/>
        <v>0</v>
      </c>
      <c r="BV30" s="93">
        <f t="shared" si="46"/>
        <v>0</v>
      </c>
      <c r="BW30" s="93">
        <f t="shared" si="46"/>
        <v>0</v>
      </c>
      <c r="BX30" s="93">
        <f t="shared" si="46"/>
        <v>0</v>
      </c>
      <c r="BY30" s="93">
        <f t="shared" si="46"/>
        <v>0</v>
      </c>
      <c r="BZ30" s="93">
        <f t="shared" si="46"/>
        <v>0</v>
      </c>
      <c r="CA30" s="93">
        <f t="shared" si="46"/>
        <v>0</v>
      </c>
      <c r="CB30" s="93">
        <f t="shared" si="46"/>
        <v>0</v>
      </c>
      <c r="CC30" s="93">
        <f t="shared" si="46"/>
        <v>0</v>
      </c>
      <c r="CD30" s="93">
        <f>CD28*CD29</f>
        <v>0</v>
      </c>
      <c r="CE30" s="93">
        <f>CE28*CE29</f>
        <v>0</v>
      </c>
      <c r="CF30" s="93">
        <f>CF28*CF29</f>
        <v>0</v>
      </c>
      <c r="CG30" s="94">
        <f>CG28*CG29</f>
        <v>0</v>
      </c>
    </row>
  </sheetData>
  <conditionalFormatting sqref="R9:CG9 R19:CG19">
    <cfRule type="cellIs" priority="1" dxfId="2" operator="greaterThan" stopIfTrue="1">
      <formula>0</formula>
    </cfRule>
  </conditionalFormatting>
  <conditionalFormatting sqref="R10:CG10 R20:CG20">
    <cfRule type="cellIs" priority="2" dxfId="3" operator="greaterThan" stopIfTrue="1">
      <formula>0</formula>
    </cfRule>
  </conditionalFormatting>
  <conditionalFormatting sqref="R11:CG11 R21:CG21">
    <cfRule type="cellIs" priority="3" dxfId="4" operator="greaterThan" stopIfTrue="1">
      <formula>0</formula>
    </cfRule>
  </conditionalFormatting>
  <conditionalFormatting sqref="R12:CG12 R22:CG22">
    <cfRule type="cellIs" priority="4" dxfId="5" operator="greaterThan" stopIfTrue="1">
      <formula>0</formula>
    </cfRule>
  </conditionalFormatting>
  <conditionalFormatting sqref="R13:CG13 R23:CG23">
    <cfRule type="cellIs" priority="5" dxfId="6" operator="greaterThan" stopIfTrue="1">
      <formula>0</formula>
    </cfRule>
  </conditionalFormatting>
  <conditionalFormatting sqref="R14:CG14 R24:CG24">
    <cfRule type="cellIs" priority="6" dxfId="7" operator="greaterThan" stopIfTrue="1">
      <formula>0</formula>
    </cfRule>
  </conditionalFormatting>
  <conditionalFormatting sqref="R15:CG15">
    <cfRule type="cellIs" priority="7" dxfId="8" operator="greaterThan" stopIfTrue="1">
      <formula>0</formula>
    </cfRule>
  </conditionalFormatting>
  <conditionalFormatting sqref="R16:CG16">
    <cfRule type="cellIs" priority="8" dxfId="9" operator="greaterThan" stopIfTrue="1">
      <formula>0</formula>
    </cfRule>
  </conditionalFormatting>
  <conditionalFormatting sqref="R17:CG17">
    <cfRule type="cellIs" priority="9" dxfId="10" operator="greaterThan" stopIfTrue="1">
      <formula>0</formula>
    </cfRule>
  </conditionalFormatting>
  <conditionalFormatting sqref="R18:CG18">
    <cfRule type="cellIs" priority="10" dxfId="0" operator="greater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2004-12-27T17:35:59Z</dcterms:created>
  <cp:category/>
  <cp:version/>
  <cp:contentType/>
  <cp:contentStatus/>
</cp:coreProperties>
</file>