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9780" windowHeight="12760" tabRatio="459" activeTab="0"/>
  </bookViews>
  <sheets>
    <sheet name="Route1" sheetId="1" r:id="rId1"/>
    <sheet name="Route1_Chart" sheetId="2" r:id="rId2"/>
    <sheet name="Route1_Graph" sheetId="3" r:id="rId3"/>
    <sheet name="Route2" sheetId="4" r:id="rId4"/>
    <sheet name="Route2_Chart" sheetId="5" r:id="rId5"/>
    <sheet name="Route2_Graph" sheetId="6" r:id="rId6"/>
    <sheet name="Sheet1" sheetId="7" r:id="rId7"/>
    <sheet name="Sheet2" sheetId="8" r:id="rId8"/>
    <sheet name="Sheet3" sheetId="9" r:id="rId9"/>
  </sheets>
  <externalReferences>
    <externalReference r:id="rId12"/>
  </externalReferences>
  <definedNames>
    <definedName name="Route1">'Route1'!$C$3</definedName>
    <definedName name="Route1_CostDistance">'Route1'!$D$26:$K$26</definedName>
    <definedName name="Route1_DurCost">'Route1'!$D$43:$K$43</definedName>
    <definedName name="Route1_Finish">'Route1'!$D$39:$K$39</definedName>
    <definedName name="Route1_OpAlg">'Route1'!$F$6</definedName>
    <definedName name="Route1_OpDir">'Route1'!$F$4</definedName>
    <definedName name="Route1_OpFeas">'Route1'!$H$4</definedName>
    <definedName name="Route1_OpFeasValue">'Route1'!$H$5</definedName>
    <definedName name="Route1_OpInterval">'Route1'!$O$7</definedName>
    <definedName name="Route1_OpName">'Route1'!$D$4</definedName>
    <definedName name="Route1_OpObj">'Route1'!$F$5</definedName>
    <definedName name="Route1_OpObjMatrix">'Route1'!$D$15:$K$23</definedName>
    <definedName name="Route1_OpObjTerms">'Route1'!$D$12:$K$12</definedName>
    <definedName name="Route1_OpProb">'Route1'!$D$6</definedName>
    <definedName name="Route1_OpSequence">'Route1'!$D$10:$K$10</definedName>
    <definedName name="Route1_OpShow">'Route1'!$O$10:$X$30</definedName>
    <definedName name="Route1_OpType">'Route1'!$D$5</definedName>
    <definedName name="Route1_OpValue">'Route1'!$D$9:$K$9</definedName>
    <definedName name="Route1_OpVarName">'Route1'!$D$8:$K$8</definedName>
    <definedName name="Route1_Process">'Route1'!$D$28:$K$28</definedName>
    <definedName name="Route1_Release">'Route1'!$D$29:$K$29</definedName>
    <definedName name="Route1_Stage1">'Route1'!$D$36:$K$39</definedName>
    <definedName name="Route1_Start">'Route1'!$D$38:$K$38</definedName>
    <definedName name="Route1_TimeDistance">'Route1'!$D$27:$K$27</definedName>
    <definedName name="Route1_TravelCost">'Route1'!$D$42:$K$42</definedName>
    <definedName name="Route1_UnitDuration">'Route1'!$D$30:$K$30</definedName>
    <definedName name="Route1_x">'Route1'!$L$16:$L$23</definedName>
    <definedName name="Route1_y">'Route1'!$M$16:$M$23</definedName>
    <definedName name="Route2">'Route2'!$C$3</definedName>
    <definedName name="Route2_CostDistance">'Route2'!$D$26:$K$26</definedName>
    <definedName name="Route2_DurCost">'Route2'!$D$49:$K$49</definedName>
    <definedName name="Route2_Early">'Route2'!$D$45:$K$45</definedName>
    <definedName name="Route2_EarlyCost">'Route2'!$D$50:$K$50</definedName>
    <definedName name="Route2_EarlyDue">'Route2'!$D$30:$K$30</definedName>
    <definedName name="Route2_Finish">'Route2'!$D$43:$K$43</definedName>
    <definedName name="Route2_Late">'Route2'!$D$46:$K$46</definedName>
    <definedName name="Route2_LateCost">'Route2'!$D$51:$K$51</definedName>
    <definedName name="Route2_LateDue">'Route2'!$D$31:$K$31</definedName>
    <definedName name="Route2_OpAlg">'Route2'!$F$6</definedName>
    <definedName name="Route2_OpDir">'Route2'!$F$4</definedName>
    <definedName name="Route2_OpFeas">'Route2'!$H$4</definedName>
    <definedName name="Route2_OpFeasValue">'Route2'!$H$5</definedName>
    <definedName name="Route2_OpInterval">'Route2'!$O$7</definedName>
    <definedName name="Route2_OpName">'Route2'!$D$4</definedName>
    <definedName name="Route2_OpObj">'Route2'!$F$5</definedName>
    <definedName name="Route2_OpObjMatrix">'Route2'!$D$15:$K$23</definedName>
    <definedName name="Route2_OpObjTerms">'Route2'!$D$12:$K$12</definedName>
    <definedName name="Route2_OpProb">'Route2'!$D$6</definedName>
    <definedName name="Route2_OpSequence">'Route2'!$D$10:$K$10</definedName>
    <definedName name="Route2_OpShow">'Route2'!$O$10:$X$30</definedName>
    <definedName name="Route2_OpType">'Route2'!$D$5</definedName>
    <definedName name="Route2_OpValue">'Route2'!$D$9:$K$9</definedName>
    <definedName name="Route2_OpVarName">'Route2'!$D$8:$K$8</definedName>
    <definedName name="Route2_Process">'Route2'!$D$28:$K$28</definedName>
    <definedName name="Route2_Release">'Route2'!$D$29:$K$29</definedName>
    <definedName name="Route2_Stage1">'Route2'!$D$40:$K$43</definedName>
    <definedName name="Route2_Start">'Route2'!$D$42:$K$42</definedName>
    <definedName name="Route2_TimeDistance">'Route2'!$D$27:$K$27</definedName>
    <definedName name="Route2_TravelCost">'Route2'!$D$48:$K$48</definedName>
    <definedName name="Route2_UnitDuration">'Route2'!$D$32:$K$32</definedName>
    <definedName name="Route2_UnitEarly">'Route2'!$D$33:$K$33</definedName>
    <definedName name="Route2_UnitLate">'Route2'!$D$34:$K$34</definedName>
    <definedName name="Route2_x">'Route2'!$L$16:$L$23</definedName>
    <definedName name="Route2_y">'Route2'!$M$16:$M$23</definedName>
  </definedNames>
  <calcPr fullCalcOnLoad="1"/>
</workbook>
</file>

<file path=xl/sharedStrings.xml><?xml version="1.0" encoding="utf-8"?>
<sst xmlns="http://schemas.openxmlformats.org/spreadsheetml/2006/main" count="222" uniqueCount="77">
  <si>
    <t>Routing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</si>
  <si>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</si>
  <si>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</si>
  <si>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</si>
  <si>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</si>
  <si>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</si>
  <si>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</si>
  <si>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</si>
  <si>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</si>
  <si>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Route1</t>
  </si>
  <si>
    <t>Search Method</t>
  </si>
  <si>
    <t>Problem</t>
  </si>
  <si>
    <t>TSP</t>
  </si>
  <si>
    <t>Algorithm</t>
  </si>
  <si>
    <t>None</t>
  </si>
  <si>
    <t>Sequence</t>
  </si>
  <si>
    <t>x</t>
  </si>
  <si>
    <t>y</t>
  </si>
  <si>
    <t>***</t>
  </si>
  <si>
    <t>Site</t>
  </si>
  <si>
    <t>Site Name</t>
  </si>
  <si>
    <t>Next Site</t>
  </si>
  <si>
    <t>Depot</t>
  </si>
  <si>
    <t>S1</t>
  </si>
  <si>
    <t>S2</t>
  </si>
  <si>
    <t>S3</t>
  </si>
  <si>
    <t>S4</t>
  </si>
  <si>
    <t>S5</t>
  </si>
  <si>
    <t>S6</t>
  </si>
  <si>
    <t>Travel Distance(to,from)</t>
  </si>
  <si>
    <t>Travel Distance</t>
  </si>
  <si>
    <t>Cost/Distance</t>
  </si>
  <si>
    <t>Time/Distance</t>
  </si>
  <si>
    <t>Site Time</t>
  </si>
  <si>
    <t>Available Time</t>
  </si>
  <si>
    <t>Departure Time Penalty</t>
  </si>
  <si>
    <t>Time Available</t>
  </si>
  <si>
    <t>Travel Time to Next</t>
  </si>
  <si>
    <t>Arrive</t>
  </si>
  <si>
    <t>Depart</t>
  </si>
  <si>
    <t>Travel Cost</t>
  </si>
  <si>
    <t>Duration Cost</t>
  </si>
  <si>
    <t>Search</t>
  </si>
  <si>
    <t>Chart</t>
  </si>
  <si>
    <t>Exhaustive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</si>
  <si>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</si>
  <si>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</si>
  <si>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</si>
  <si>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</si>
  <si>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</si>
  <si>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</si>
  <si>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</si>
  <si>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</si>
  <si>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</si>
  <si>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</si>
  <si>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</si>
  <si>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Optimum</t>
  </si>
  <si>
    <t>Route1 Gantt Chart</t>
  </si>
  <si>
    <t>Sequence:</t>
  </si>
  <si>
    <t>Time:</t>
  </si>
  <si>
    <t>Stage 1</t>
  </si>
  <si>
    <t>Route2</t>
  </si>
  <si>
    <t>Scheduled Arrival</t>
  </si>
  <si>
    <t>Scheduled Departure</t>
  </si>
  <si>
    <t>Early Penalty</t>
  </si>
  <si>
    <t>Late Penalty</t>
  </si>
  <si>
    <t>Early</t>
  </si>
  <si>
    <t>Late</t>
  </si>
  <si>
    <t>Early Cost</t>
  </si>
  <si>
    <t>Late Cost</t>
  </si>
  <si>
    <t>Random</t>
  </si>
  <si>
    <t>Best Found</t>
  </si>
  <si>
    <t>Route2 Gantt Chart</t>
  </si>
  <si>
    <t>Map</t>
  </si>
  <si>
    <t>Route1 Graph</t>
  </si>
  <si>
    <t>Index:</t>
  </si>
  <si>
    <t>Route2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</si>
</sst>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12"/>
      <name val="Lucida Grande"/>
      <family val="0"/>
    </font>
    <font>
      <sz val="8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0"/>
    </font>
    <font>
      <sz val="12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8" borderId="5" xfId="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8" fillId="8" borderId="6" xfId="0" applyFont="1" applyFill="1" applyBorder="1" applyAlignment="1">
      <alignment/>
    </xf>
    <xf numFmtId="0" fontId="8" fillId="9" borderId="5" xfId="0" applyFont="1" applyFill="1" applyBorder="1" applyAlignment="1">
      <alignment/>
    </xf>
    <xf numFmtId="0" fontId="8" fillId="9" borderId="7" xfId="0" applyFont="1" applyFill="1" applyBorder="1" applyAlignment="1">
      <alignment/>
    </xf>
    <xf numFmtId="0" fontId="8" fillId="9" borderId="6" xfId="0" applyFont="1" applyFill="1" applyBorder="1" applyAlignment="1">
      <alignment/>
    </xf>
    <xf numFmtId="0" fontId="8" fillId="10" borderId="5" xfId="0" applyFont="1" applyFill="1" applyBorder="1" applyAlignment="1">
      <alignment/>
    </xf>
    <xf numFmtId="0" fontId="8" fillId="10" borderId="7" xfId="0" applyFont="1" applyFill="1" applyBorder="1" applyAlignment="1">
      <alignment/>
    </xf>
    <xf numFmtId="0" fontId="8" fillId="10" borderId="6" xfId="0" applyFont="1" applyFill="1" applyBorder="1" applyAlignment="1">
      <alignment/>
    </xf>
    <xf numFmtId="0" fontId="8" fillId="11" borderId="5" xfId="0" applyFont="1" applyFill="1" applyBorder="1" applyAlignment="1">
      <alignment/>
    </xf>
    <xf numFmtId="0" fontId="8" fillId="11" borderId="7" xfId="0" applyFont="1" applyFill="1" applyBorder="1" applyAlignment="1">
      <alignment/>
    </xf>
    <xf numFmtId="0" fontId="8" fillId="11" borderId="6" xfId="0" applyFont="1" applyFill="1" applyBorder="1" applyAlignment="1">
      <alignment/>
    </xf>
    <xf numFmtId="0" fontId="8" fillId="0" borderId="0" xfId="0" applyFont="1" applyAlignment="1">
      <alignment/>
    </xf>
    <xf numFmtId="0" fontId="8" fillId="12" borderId="5" xfId="0" applyFont="1" applyFill="1" applyBorder="1" applyAlignment="1">
      <alignment/>
    </xf>
    <xf numFmtId="0" fontId="8" fillId="12" borderId="7" xfId="0" applyFont="1" applyFill="1" applyBorder="1" applyAlignment="1">
      <alignment/>
    </xf>
    <xf numFmtId="0" fontId="8" fillId="12" borderId="6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13</xdr:row>
      <xdr:rowOff>352425</xdr:rowOff>
    </xdr:from>
    <xdr:to>
      <xdr:col>5</xdr:col>
      <xdr:colOff>390525</xdr:colOff>
      <xdr:row>14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162300" y="5286375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</xdr:col>
      <xdr:colOff>352425</xdr:colOff>
      <xdr:row>14</xdr:row>
      <xdr:rowOff>47625</xdr:rowOff>
    </xdr:from>
    <xdr:ext cx="542925" cy="304800"/>
    <xdr:sp>
      <xdr:nvSpPr>
        <xdr:cNvPr id="2" name="TextBox 2"/>
        <xdr:cNvSpPr txBox="1">
          <a:spLocks noChangeArrowheads="1"/>
        </xdr:cNvSpPr>
      </xdr:nvSpPr>
      <xdr:spPr>
        <a:xfrm>
          <a:off x="3343275" y="5419725"/>
          <a:ext cx="5429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Depot</a:t>
          </a:r>
        </a:p>
      </xdr:txBody>
    </xdr:sp>
    <xdr:clientData/>
  </xdr:oneCellAnchor>
  <xdr:twoCellAnchor>
    <xdr:from>
      <xdr:col>25</xdr:col>
      <xdr:colOff>390525</xdr:colOff>
      <xdr:row>29</xdr:row>
      <xdr:rowOff>304800</xdr:rowOff>
    </xdr:from>
    <xdr:to>
      <xdr:col>26</xdr:col>
      <xdr:colOff>171450</xdr:colOff>
      <xdr:row>30</xdr:row>
      <xdr:rowOff>114300</xdr:rowOff>
    </xdr:to>
    <xdr:sp>
      <xdr:nvSpPr>
        <xdr:cNvPr id="3" name="Oval 3"/>
        <xdr:cNvSpPr>
          <a:spLocks/>
        </xdr:cNvSpPr>
      </xdr:nvSpPr>
      <xdr:spPr>
        <a:xfrm>
          <a:off x="12144375" y="12249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26</xdr:col>
      <xdr:colOff>133350</xdr:colOff>
      <xdr:row>30</xdr:row>
      <xdr:rowOff>47625</xdr:rowOff>
    </xdr:from>
    <xdr:ext cx="304800" cy="304800"/>
    <xdr:sp>
      <xdr:nvSpPr>
        <xdr:cNvPr id="4" name="TextBox 4"/>
        <xdr:cNvSpPr txBox="1">
          <a:spLocks noChangeArrowheads="1"/>
        </xdr:cNvSpPr>
      </xdr:nvSpPr>
      <xdr:spPr>
        <a:xfrm>
          <a:off x="12325350" y="12430125"/>
          <a:ext cx="3048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S1</a:t>
          </a:r>
        </a:p>
      </xdr:txBody>
    </xdr:sp>
    <xdr:clientData/>
  </xdr:oneCellAnchor>
  <xdr:twoCellAnchor>
    <xdr:from>
      <xdr:col>1</xdr:col>
      <xdr:colOff>790575</xdr:colOff>
      <xdr:row>17</xdr:row>
      <xdr:rowOff>228600</xdr:rowOff>
    </xdr:from>
    <xdr:to>
      <xdr:col>2</xdr:col>
      <xdr:colOff>171450</xdr:colOff>
      <xdr:row>18</xdr:row>
      <xdr:rowOff>38100</xdr:rowOff>
    </xdr:to>
    <xdr:sp>
      <xdr:nvSpPr>
        <xdr:cNvPr id="5" name="Oval 5"/>
        <xdr:cNvSpPr>
          <a:spLocks/>
        </xdr:cNvSpPr>
      </xdr:nvSpPr>
      <xdr:spPr>
        <a:xfrm>
          <a:off x="1628775" y="6915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133350</xdr:colOff>
      <xdr:row>18</xdr:row>
      <xdr:rowOff>0</xdr:rowOff>
    </xdr:from>
    <xdr:ext cx="304800" cy="304800"/>
    <xdr:sp>
      <xdr:nvSpPr>
        <xdr:cNvPr id="6" name="TextBox 6"/>
        <xdr:cNvSpPr txBox="1">
          <a:spLocks noChangeArrowheads="1"/>
        </xdr:cNvSpPr>
      </xdr:nvSpPr>
      <xdr:spPr>
        <a:xfrm>
          <a:off x="1809750" y="7124700"/>
          <a:ext cx="3048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S2</a:t>
          </a:r>
        </a:p>
      </xdr:txBody>
    </xdr:sp>
    <xdr:clientData/>
  </xdr:oneCellAnchor>
  <xdr:twoCellAnchor>
    <xdr:from>
      <xdr:col>9</xdr:col>
      <xdr:colOff>409575</xdr:colOff>
      <xdr:row>10</xdr:row>
      <xdr:rowOff>152400</xdr:rowOff>
    </xdr:from>
    <xdr:to>
      <xdr:col>10</xdr:col>
      <xdr:colOff>190500</xdr:colOff>
      <xdr:row>10</xdr:row>
      <xdr:rowOff>400050</xdr:rowOff>
    </xdr:to>
    <xdr:sp>
      <xdr:nvSpPr>
        <xdr:cNvPr id="7" name="Oval 7"/>
        <xdr:cNvSpPr>
          <a:spLocks/>
        </xdr:cNvSpPr>
      </xdr:nvSpPr>
      <xdr:spPr>
        <a:xfrm>
          <a:off x="5153025" y="37719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133350</xdr:colOff>
      <xdr:row>10</xdr:row>
      <xdr:rowOff>304800</xdr:rowOff>
    </xdr:from>
    <xdr:ext cx="304800" cy="285750"/>
    <xdr:sp>
      <xdr:nvSpPr>
        <xdr:cNvPr id="8" name="TextBox 8"/>
        <xdr:cNvSpPr txBox="1">
          <a:spLocks noChangeArrowheads="1"/>
        </xdr:cNvSpPr>
      </xdr:nvSpPr>
      <xdr:spPr>
        <a:xfrm>
          <a:off x="5314950" y="3924300"/>
          <a:ext cx="3048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S3</a:t>
          </a:r>
        </a:p>
      </xdr:txBody>
    </xdr:sp>
    <xdr:clientData/>
  </xdr:oneCellAnchor>
  <xdr:twoCellAnchor>
    <xdr:from>
      <xdr:col>39</xdr:col>
      <xdr:colOff>276225</xdr:colOff>
      <xdr:row>8</xdr:row>
      <xdr:rowOff>0</xdr:rowOff>
    </xdr:from>
    <xdr:to>
      <xdr:col>40</xdr:col>
      <xdr:colOff>57150</xdr:colOff>
      <xdr:row>8</xdr:row>
      <xdr:rowOff>247650</xdr:rowOff>
    </xdr:to>
    <xdr:sp>
      <xdr:nvSpPr>
        <xdr:cNvPr id="9" name="Oval 9"/>
        <xdr:cNvSpPr>
          <a:spLocks/>
        </xdr:cNvSpPr>
      </xdr:nvSpPr>
      <xdr:spPr>
        <a:xfrm>
          <a:off x="18164175" y="27432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40</xdr:col>
      <xdr:colOff>0</xdr:colOff>
      <xdr:row>8</xdr:row>
      <xdr:rowOff>200025</xdr:rowOff>
    </xdr:from>
    <xdr:ext cx="304800" cy="285750"/>
    <xdr:sp>
      <xdr:nvSpPr>
        <xdr:cNvPr id="10" name="TextBox 10"/>
        <xdr:cNvSpPr txBox="1">
          <a:spLocks noChangeArrowheads="1"/>
        </xdr:cNvSpPr>
      </xdr:nvSpPr>
      <xdr:spPr>
        <a:xfrm>
          <a:off x="18326100" y="2943225"/>
          <a:ext cx="3048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S4</a:t>
          </a:r>
        </a:p>
      </xdr:txBody>
    </xdr:sp>
    <xdr:clientData/>
  </xdr:oneCellAnchor>
  <xdr:twoCellAnchor>
    <xdr:from>
      <xdr:col>23</xdr:col>
      <xdr:colOff>66675</xdr:colOff>
      <xdr:row>5</xdr:row>
      <xdr:rowOff>133350</xdr:rowOff>
    </xdr:from>
    <xdr:to>
      <xdr:col>23</xdr:col>
      <xdr:colOff>285750</xdr:colOff>
      <xdr:row>5</xdr:row>
      <xdr:rowOff>390525</xdr:rowOff>
    </xdr:to>
    <xdr:sp>
      <xdr:nvSpPr>
        <xdr:cNvPr id="11" name="Oval 11"/>
        <xdr:cNvSpPr>
          <a:spLocks/>
        </xdr:cNvSpPr>
      </xdr:nvSpPr>
      <xdr:spPr>
        <a:xfrm>
          <a:off x="10944225" y="1562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23</xdr:col>
      <xdr:colOff>219075</xdr:colOff>
      <xdr:row>5</xdr:row>
      <xdr:rowOff>304800</xdr:rowOff>
    </xdr:from>
    <xdr:ext cx="304800" cy="285750"/>
    <xdr:sp>
      <xdr:nvSpPr>
        <xdr:cNvPr id="12" name="TextBox 12"/>
        <xdr:cNvSpPr txBox="1">
          <a:spLocks noChangeArrowheads="1"/>
        </xdr:cNvSpPr>
      </xdr:nvSpPr>
      <xdr:spPr>
        <a:xfrm>
          <a:off x="11096625" y="1733550"/>
          <a:ext cx="3048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S5</a:t>
          </a:r>
        </a:p>
      </xdr:txBody>
    </xdr:sp>
    <xdr:clientData/>
  </xdr:oneCellAnchor>
  <xdr:twoCellAnchor>
    <xdr:from>
      <xdr:col>20</xdr:col>
      <xdr:colOff>171450</xdr:colOff>
      <xdr:row>8</xdr:row>
      <xdr:rowOff>9525</xdr:rowOff>
    </xdr:from>
    <xdr:to>
      <xdr:col>20</xdr:col>
      <xdr:colOff>390525</xdr:colOff>
      <xdr:row>8</xdr:row>
      <xdr:rowOff>257175</xdr:rowOff>
    </xdr:to>
    <xdr:sp>
      <xdr:nvSpPr>
        <xdr:cNvPr id="13" name="Oval 13"/>
        <xdr:cNvSpPr>
          <a:spLocks/>
        </xdr:cNvSpPr>
      </xdr:nvSpPr>
      <xdr:spPr>
        <a:xfrm>
          <a:off x="9734550" y="27527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20</xdr:col>
      <xdr:colOff>352425</xdr:colOff>
      <xdr:row>8</xdr:row>
      <xdr:rowOff>200025</xdr:rowOff>
    </xdr:from>
    <xdr:ext cx="304800" cy="285750"/>
    <xdr:sp>
      <xdr:nvSpPr>
        <xdr:cNvPr id="14" name="TextBox 14"/>
        <xdr:cNvSpPr txBox="1">
          <a:spLocks noChangeArrowheads="1"/>
        </xdr:cNvSpPr>
      </xdr:nvSpPr>
      <xdr:spPr>
        <a:xfrm>
          <a:off x="9915525" y="2943225"/>
          <a:ext cx="3048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S6</a:t>
          </a:r>
        </a:p>
      </xdr:txBody>
    </xdr:sp>
    <xdr:clientData/>
  </xdr:oneCellAnchor>
  <xdr:twoCellAnchor>
    <xdr:from>
      <xdr:col>5</xdr:col>
      <xdr:colOff>381000</xdr:colOff>
      <xdr:row>10</xdr:row>
      <xdr:rowOff>352425</xdr:rowOff>
    </xdr:from>
    <xdr:to>
      <xdr:col>9</xdr:col>
      <xdr:colOff>428625</xdr:colOff>
      <xdr:row>13</xdr:row>
      <xdr:rowOff>400050</xdr:rowOff>
    </xdr:to>
    <xdr:sp>
      <xdr:nvSpPr>
        <xdr:cNvPr id="15" name="Line 15"/>
        <xdr:cNvSpPr>
          <a:spLocks/>
        </xdr:cNvSpPr>
      </xdr:nvSpPr>
      <xdr:spPr>
        <a:xfrm flipV="1">
          <a:off x="3371850" y="3971925"/>
          <a:ext cx="1800225" cy="1362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161925</xdr:colOff>
      <xdr:row>17</xdr:row>
      <xdr:rowOff>400050</xdr:rowOff>
    </xdr:from>
    <xdr:to>
      <xdr:col>25</xdr:col>
      <xdr:colOff>409575</xdr:colOff>
      <xdr:row>29</xdr:row>
      <xdr:rowOff>371475</xdr:rowOff>
    </xdr:to>
    <xdr:sp>
      <xdr:nvSpPr>
        <xdr:cNvPr id="16" name="Line 16"/>
        <xdr:cNvSpPr>
          <a:spLocks/>
        </xdr:cNvSpPr>
      </xdr:nvSpPr>
      <xdr:spPr>
        <a:xfrm flipH="1" flipV="1">
          <a:off x="1838325" y="7086600"/>
          <a:ext cx="10325100" cy="5229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142875</xdr:colOff>
      <xdr:row>14</xdr:row>
      <xdr:rowOff>114300</xdr:rowOff>
    </xdr:from>
    <xdr:to>
      <xdr:col>5</xdr:col>
      <xdr:colOff>209550</xdr:colOff>
      <xdr:row>17</xdr:row>
      <xdr:rowOff>266700</xdr:rowOff>
    </xdr:to>
    <xdr:sp>
      <xdr:nvSpPr>
        <xdr:cNvPr id="17" name="Line 17"/>
        <xdr:cNvSpPr>
          <a:spLocks/>
        </xdr:cNvSpPr>
      </xdr:nvSpPr>
      <xdr:spPr>
        <a:xfrm flipV="1">
          <a:off x="1819275" y="5486400"/>
          <a:ext cx="1381125" cy="1466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190500</xdr:colOff>
      <xdr:row>8</xdr:row>
      <xdr:rowOff>161925</xdr:rowOff>
    </xdr:from>
    <xdr:to>
      <xdr:col>20</xdr:col>
      <xdr:colOff>171450</xdr:colOff>
      <xdr:row>10</xdr:row>
      <xdr:rowOff>247650</xdr:rowOff>
    </xdr:to>
    <xdr:sp>
      <xdr:nvSpPr>
        <xdr:cNvPr id="18" name="Line 18"/>
        <xdr:cNvSpPr>
          <a:spLocks/>
        </xdr:cNvSpPr>
      </xdr:nvSpPr>
      <xdr:spPr>
        <a:xfrm flipV="1">
          <a:off x="5372100" y="2905125"/>
          <a:ext cx="4362450" cy="962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133350</xdr:colOff>
      <xdr:row>8</xdr:row>
      <xdr:rowOff>228600</xdr:rowOff>
    </xdr:from>
    <xdr:to>
      <xdr:col>39</xdr:col>
      <xdr:colOff>314325</xdr:colOff>
      <xdr:row>29</xdr:row>
      <xdr:rowOff>323850</xdr:rowOff>
    </xdr:to>
    <xdr:sp>
      <xdr:nvSpPr>
        <xdr:cNvPr id="19" name="Line 19"/>
        <xdr:cNvSpPr>
          <a:spLocks/>
        </xdr:cNvSpPr>
      </xdr:nvSpPr>
      <xdr:spPr>
        <a:xfrm flipH="1">
          <a:off x="12325350" y="2971800"/>
          <a:ext cx="5876925" cy="9296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276225</xdr:rowOff>
    </xdr:from>
    <xdr:to>
      <xdr:col>39</xdr:col>
      <xdr:colOff>276225</xdr:colOff>
      <xdr:row>8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11163300" y="1704975"/>
          <a:ext cx="7000875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371475</xdr:colOff>
      <xdr:row>5</xdr:row>
      <xdr:rowOff>333375</xdr:rowOff>
    </xdr:from>
    <xdr:to>
      <xdr:col>23</xdr:col>
      <xdr:colOff>85725</xdr:colOff>
      <xdr:row>8</xdr:row>
      <xdr:rowOff>47625</xdr:rowOff>
    </xdr:to>
    <xdr:sp>
      <xdr:nvSpPr>
        <xdr:cNvPr id="21" name="Line 21"/>
        <xdr:cNvSpPr>
          <a:spLocks/>
        </xdr:cNvSpPr>
      </xdr:nvSpPr>
      <xdr:spPr>
        <a:xfrm flipV="1">
          <a:off x="9934575" y="1762125"/>
          <a:ext cx="102870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13</xdr:row>
      <xdr:rowOff>352425</xdr:rowOff>
    </xdr:from>
    <xdr:to>
      <xdr:col>5</xdr:col>
      <xdr:colOff>390525</xdr:colOff>
      <xdr:row>14</xdr:row>
      <xdr:rowOff>161925</xdr:rowOff>
    </xdr:to>
    <xdr:sp>
      <xdr:nvSpPr>
        <xdr:cNvPr id="1" name="Oval 1"/>
        <xdr:cNvSpPr>
          <a:spLocks/>
        </xdr:cNvSpPr>
      </xdr:nvSpPr>
      <xdr:spPr>
        <a:xfrm>
          <a:off x="3162300" y="5286375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47625</xdr:rowOff>
    </xdr:from>
    <xdr:ext cx="514350" cy="314325"/>
    <xdr:sp>
      <xdr:nvSpPr>
        <xdr:cNvPr id="2" name="TextBox 2"/>
        <xdr:cNvSpPr txBox="1">
          <a:spLocks noChangeArrowheads="1"/>
        </xdr:cNvSpPr>
      </xdr:nvSpPr>
      <xdr:spPr>
        <a:xfrm>
          <a:off x="3305175" y="5419725"/>
          <a:ext cx="5143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Depot</a:t>
          </a:r>
        </a:p>
      </xdr:txBody>
    </xdr:sp>
    <xdr:clientData/>
  </xdr:oneCellAnchor>
  <xdr:twoCellAnchor>
    <xdr:from>
      <xdr:col>25</xdr:col>
      <xdr:colOff>390525</xdr:colOff>
      <xdr:row>29</xdr:row>
      <xdr:rowOff>304800</xdr:rowOff>
    </xdr:from>
    <xdr:to>
      <xdr:col>26</xdr:col>
      <xdr:colOff>171450</xdr:colOff>
      <xdr:row>30</xdr:row>
      <xdr:rowOff>114300</xdr:rowOff>
    </xdr:to>
    <xdr:sp>
      <xdr:nvSpPr>
        <xdr:cNvPr id="3" name="Oval 3"/>
        <xdr:cNvSpPr>
          <a:spLocks/>
        </xdr:cNvSpPr>
      </xdr:nvSpPr>
      <xdr:spPr>
        <a:xfrm>
          <a:off x="12144375" y="12249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26</xdr:col>
      <xdr:colOff>95250</xdr:colOff>
      <xdr:row>30</xdr:row>
      <xdr:rowOff>28575</xdr:rowOff>
    </xdr:from>
    <xdr:ext cx="295275" cy="314325"/>
    <xdr:sp>
      <xdr:nvSpPr>
        <xdr:cNvPr id="4" name="TextBox 4"/>
        <xdr:cNvSpPr txBox="1">
          <a:spLocks noChangeArrowheads="1"/>
        </xdr:cNvSpPr>
      </xdr:nvSpPr>
      <xdr:spPr>
        <a:xfrm>
          <a:off x="12287250" y="12411075"/>
          <a:ext cx="2952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S1</a:t>
          </a:r>
        </a:p>
      </xdr:txBody>
    </xdr:sp>
    <xdr:clientData/>
  </xdr:oneCellAnchor>
  <xdr:twoCellAnchor>
    <xdr:from>
      <xdr:col>1</xdr:col>
      <xdr:colOff>790575</xdr:colOff>
      <xdr:row>17</xdr:row>
      <xdr:rowOff>228600</xdr:rowOff>
    </xdr:from>
    <xdr:to>
      <xdr:col>2</xdr:col>
      <xdr:colOff>171450</xdr:colOff>
      <xdr:row>18</xdr:row>
      <xdr:rowOff>38100</xdr:rowOff>
    </xdr:to>
    <xdr:sp>
      <xdr:nvSpPr>
        <xdr:cNvPr id="5" name="Oval 5"/>
        <xdr:cNvSpPr>
          <a:spLocks/>
        </xdr:cNvSpPr>
      </xdr:nvSpPr>
      <xdr:spPr>
        <a:xfrm>
          <a:off x="1628775" y="6915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95250</xdr:colOff>
      <xdr:row>17</xdr:row>
      <xdr:rowOff>390525</xdr:rowOff>
    </xdr:from>
    <xdr:ext cx="295275" cy="295275"/>
    <xdr:sp>
      <xdr:nvSpPr>
        <xdr:cNvPr id="6" name="TextBox 6"/>
        <xdr:cNvSpPr txBox="1">
          <a:spLocks noChangeArrowheads="1"/>
        </xdr:cNvSpPr>
      </xdr:nvSpPr>
      <xdr:spPr>
        <a:xfrm>
          <a:off x="1771650" y="7077075"/>
          <a:ext cx="2952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S2</a:t>
          </a:r>
        </a:p>
      </xdr:txBody>
    </xdr:sp>
    <xdr:clientData/>
  </xdr:oneCellAnchor>
  <xdr:twoCellAnchor>
    <xdr:from>
      <xdr:col>9</xdr:col>
      <xdr:colOff>409575</xdr:colOff>
      <xdr:row>10</xdr:row>
      <xdr:rowOff>152400</xdr:rowOff>
    </xdr:from>
    <xdr:to>
      <xdr:col>10</xdr:col>
      <xdr:colOff>190500</xdr:colOff>
      <xdr:row>10</xdr:row>
      <xdr:rowOff>400050</xdr:rowOff>
    </xdr:to>
    <xdr:sp>
      <xdr:nvSpPr>
        <xdr:cNvPr id="7" name="Oval 7"/>
        <xdr:cNvSpPr>
          <a:spLocks/>
        </xdr:cNvSpPr>
      </xdr:nvSpPr>
      <xdr:spPr>
        <a:xfrm>
          <a:off x="5153025" y="37719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123825</xdr:colOff>
      <xdr:row>10</xdr:row>
      <xdr:rowOff>333375</xdr:rowOff>
    </xdr:from>
    <xdr:ext cx="295275" cy="304800"/>
    <xdr:sp>
      <xdr:nvSpPr>
        <xdr:cNvPr id="8" name="TextBox 8"/>
        <xdr:cNvSpPr txBox="1">
          <a:spLocks noChangeArrowheads="1"/>
        </xdr:cNvSpPr>
      </xdr:nvSpPr>
      <xdr:spPr>
        <a:xfrm>
          <a:off x="5305425" y="3952875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S3</a:t>
          </a:r>
        </a:p>
      </xdr:txBody>
    </xdr:sp>
    <xdr:clientData/>
  </xdr:oneCellAnchor>
  <xdr:twoCellAnchor>
    <xdr:from>
      <xdr:col>39</xdr:col>
      <xdr:colOff>276225</xdr:colOff>
      <xdr:row>8</xdr:row>
      <xdr:rowOff>0</xdr:rowOff>
    </xdr:from>
    <xdr:to>
      <xdr:col>40</xdr:col>
      <xdr:colOff>57150</xdr:colOff>
      <xdr:row>8</xdr:row>
      <xdr:rowOff>247650</xdr:rowOff>
    </xdr:to>
    <xdr:sp>
      <xdr:nvSpPr>
        <xdr:cNvPr id="9" name="Oval 9"/>
        <xdr:cNvSpPr>
          <a:spLocks/>
        </xdr:cNvSpPr>
      </xdr:nvSpPr>
      <xdr:spPr>
        <a:xfrm>
          <a:off x="18164175" y="27432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39</xdr:col>
      <xdr:colOff>419100</xdr:colOff>
      <xdr:row>8</xdr:row>
      <xdr:rowOff>171450</xdr:rowOff>
    </xdr:from>
    <xdr:ext cx="285750" cy="295275"/>
    <xdr:sp>
      <xdr:nvSpPr>
        <xdr:cNvPr id="10" name="TextBox 10"/>
        <xdr:cNvSpPr txBox="1">
          <a:spLocks noChangeArrowheads="1"/>
        </xdr:cNvSpPr>
      </xdr:nvSpPr>
      <xdr:spPr>
        <a:xfrm>
          <a:off x="18307050" y="2914650"/>
          <a:ext cx="2857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S4</a:t>
          </a:r>
        </a:p>
      </xdr:txBody>
    </xdr:sp>
    <xdr:clientData/>
  </xdr:oneCellAnchor>
  <xdr:twoCellAnchor>
    <xdr:from>
      <xdr:col>23</xdr:col>
      <xdr:colOff>66675</xdr:colOff>
      <xdr:row>5</xdr:row>
      <xdr:rowOff>133350</xdr:rowOff>
    </xdr:from>
    <xdr:to>
      <xdr:col>23</xdr:col>
      <xdr:colOff>285750</xdr:colOff>
      <xdr:row>5</xdr:row>
      <xdr:rowOff>390525</xdr:rowOff>
    </xdr:to>
    <xdr:sp>
      <xdr:nvSpPr>
        <xdr:cNvPr id="11" name="Oval 11"/>
        <xdr:cNvSpPr>
          <a:spLocks/>
        </xdr:cNvSpPr>
      </xdr:nvSpPr>
      <xdr:spPr>
        <a:xfrm>
          <a:off x="10944225" y="1562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23</xdr:col>
      <xdr:colOff>219075</xdr:colOff>
      <xdr:row>5</xdr:row>
      <xdr:rowOff>304800</xdr:rowOff>
    </xdr:from>
    <xdr:ext cx="295275" cy="295275"/>
    <xdr:sp>
      <xdr:nvSpPr>
        <xdr:cNvPr id="12" name="TextBox 12"/>
        <xdr:cNvSpPr txBox="1">
          <a:spLocks noChangeArrowheads="1"/>
        </xdr:cNvSpPr>
      </xdr:nvSpPr>
      <xdr:spPr>
        <a:xfrm>
          <a:off x="11096625" y="1733550"/>
          <a:ext cx="2952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S5</a:t>
          </a:r>
        </a:p>
      </xdr:txBody>
    </xdr:sp>
    <xdr:clientData/>
  </xdr:oneCellAnchor>
  <xdr:twoCellAnchor>
    <xdr:from>
      <xdr:col>20</xdr:col>
      <xdr:colOff>171450</xdr:colOff>
      <xdr:row>8</xdr:row>
      <xdr:rowOff>9525</xdr:rowOff>
    </xdr:from>
    <xdr:to>
      <xdr:col>20</xdr:col>
      <xdr:colOff>390525</xdr:colOff>
      <xdr:row>8</xdr:row>
      <xdr:rowOff>257175</xdr:rowOff>
    </xdr:to>
    <xdr:sp>
      <xdr:nvSpPr>
        <xdr:cNvPr id="13" name="Oval 13"/>
        <xdr:cNvSpPr>
          <a:spLocks/>
        </xdr:cNvSpPr>
      </xdr:nvSpPr>
      <xdr:spPr>
        <a:xfrm>
          <a:off x="9734550" y="27527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20</xdr:col>
      <xdr:colOff>314325</xdr:colOff>
      <xdr:row>8</xdr:row>
      <xdr:rowOff>171450</xdr:rowOff>
    </xdr:from>
    <xdr:ext cx="295275" cy="295275"/>
    <xdr:sp>
      <xdr:nvSpPr>
        <xdr:cNvPr id="14" name="TextBox 14"/>
        <xdr:cNvSpPr txBox="1">
          <a:spLocks noChangeArrowheads="1"/>
        </xdr:cNvSpPr>
      </xdr:nvSpPr>
      <xdr:spPr>
        <a:xfrm>
          <a:off x="9877425" y="2914650"/>
          <a:ext cx="29527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S6</a:t>
          </a:r>
        </a:p>
      </xdr:txBody>
    </xdr:sp>
    <xdr:clientData/>
  </xdr:oneCellAnchor>
  <xdr:twoCellAnchor>
    <xdr:from>
      <xdr:col>2</xdr:col>
      <xdr:colOff>142875</xdr:colOff>
      <xdr:row>14</xdr:row>
      <xdr:rowOff>114300</xdr:rowOff>
    </xdr:from>
    <xdr:to>
      <xdr:col>5</xdr:col>
      <xdr:colOff>209550</xdr:colOff>
      <xdr:row>17</xdr:row>
      <xdr:rowOff>266700</xdr:rowOff>
    </xdr:to>
    <xdr:sp>
      <xdr:nvSpPr>
        <xdr:cNvPr id="15" name="Line 15"/>
        <xdr:cNvSpPr>
          <a:spLocks/>
        </xdr:cNvSpPr>
      </xdr:nvSpPr>
      <xdr:spPr>
        <a:xfrm flipH="1">
          <a:off x="1819275" y="5486400"/>
          <a:ext cx="1381125" cy="1466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133350</xdr:colOff>
      <xdr:row>8</xdr:row>
      <xdr:rowOff>228600</xdr:rowOff>
    </xdr:from>
    <xdr:to>
      <xdr:col>39</xdr:col>
      <xdr:colOff>314325</xdr:colOff>
      <xdr:row>29</xdr:row>
      <xdr:rowOff>323850</xdr:rowOff>
    </xdr:to>
    <xdr:sp>
      <xdr:nvSpPr>
        <xdr:cNvPr id="16" name="Line 16"/>
        <xdr:cNvSpPr>
          <a:spLocks/>
        </xdr:cNvSpPr>
      </xdr:nvSpPr>
      <xdr:spPr>
        <a:xfrm flipV="1">
          <a:off x="12325350" y="2971800"/>
          <a:ext cx="5876925" cy="9296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142875</xdr:colOff>
      <xdr:row>10</xdr:row>
      <xdr:rowOff>352425</xdr:rowOff>
    </xdr:from>
    <xdr:to>
      <xdr:col>9</xdr:col>
      <xdr:colOff>428625</xdr:colOff>
      <xdr:row>17</xdr:row>
      <xdr:rowOff>276225</xdr:rowOff>
    </xdr:to>
    <xdr:sp>
      <xdr:nvSpPr>
        <xdr:cNvPr id="17" name="Line 17"/>
        <xdr:cNvSpPr>
          <a:spLocks/>
        </xdr:cNvSpPr>
      </xdr:nvSpPr>
      <xdr:spPr>
        <a:xfrm flipV="1">
          <a:off x="1819275" y="3971925"/>
          <a:ext cx="3352800" cy="2990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371475</xdr:rowOff>
    </xdr:from>
    <xdr:to>
      <xdr:col>25</xdr:col>
      <xdr:colOff>428625</xdr:colOff>
      <xdr:row>29</xdr:row>
      <xdr:rowOff>333375</xdr:rowOff>
    </xdr:to>
    <xdr:sp>
      <xdr:nvSpPr>
        <xdr:cNvPr id="18" name="Line 18"/>
        <xdr:cNvSpPr>
          <a:spLocks/>
        </xdr:cNvSpPr>
      </xdr:nvSpPr>
      <xdr:spPr>
        <a:xfrm>
          <a:off x="5334000" y="3990975"/>
          <a:ext cx="6848475" cy="8286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276225</xdr:rowOff>
    </xdr:from>
    <xdr:to>
      <xdr:col>39</xdr:col>
      <xdr:colOff>276225</xdr:colOff>
      <xdr:row>8</xdr:row>
      <xdr:rowOff>104775</xdr:rowOff>
    </xdr:to>
    <xdr:sp>
      <xdr:nvSpPr>
        <xdr:cNvPr id="19" name="Line 19"/>
        <xdr:cNvSpPr>
          <a:spLocks/>
        </xdr:cNvSpPr>
      </xdr:nvSpPr>
      <xdr:spPr>
        <a:xfrm flipH="1" flipV="1">
          <a:off x="11163300" y="1704975"/>
          <a:ext cx="7000875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371475</xdr:colOff>
      <xdr:row>5</xdr:row>
      <xdr:rowOff>333375</xdr:rowOff>
    </xdr:from>
    <xdr:to>
      <xdr:col>23</xdr:col>
      <xdr:colOff>85725</xdr:colOff>
      <xdr:row>8</xdr:row>
      <xdr:rowOff>47625</xdr:rowOff>
    </xdr:to>
    <xdr:sp>
      <xdr:nvSpPr>
        <xdr:cNvPr id="20" name="Line 20"/>
        <xdr:cNvSpPr>
          <a:spLocks/>
        </xdr:cNvSpPr>
      </xdr:nvSpPr>
      <xdr:spPr>
        <a:xfrm flipH="1">
          <a:off x="9934575" y="1762125"/>
          <a:ext cx="1028700" cy="1028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390525</xdr:colOff>
      <xdr:row>8</xdr:row>
      <xdr:rowOff>171450</xdr:rowOff>
    </xdr:from>
    <xdr:to>
      <xdr:col>20</xdr:col>
      <xdr:colOff>171450</xdr:colOff>
      <xdr:row>13</xdr:row>
      <xdr:rowOff>428625</xdr:rowOff>
    </xdr:to>
    <xdr:sp>
      <xdr:nvSpPr>
        <xdr:cNvPr id="21" name="Line 21"/>
        <xdr:cNvSpPr>
          <a:spLocks/>
        </xdr:cNvSpPr>
      </xdr:nvSpPr>
      <xdr:spPr>
        <a:xfrm flipH="1">
          <a:off x="3381375" y="2914650"/>
          <a:ext cx="6353175" cy="2447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route_graphics"/>
      <definedName name="Comb_Search"/>
      <definedName name="comb_Seq_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43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6.875" style="0" customWidth="1"/>
    <col min="3" max="3" width="14.75390625" style="0" customWidth="1"/>
    <col min="4" max="11" width="6.75390625" style="0" customWidth="1"/>
    <col min="12" max="13" width="5.75390625" style="0" customWidth="1"/>
    <col min="14" max="14" width="12.375" style="0" bestFit="1" customWidth="1"/>
    <col min="15" max="24" width="5.75390625" style="0" customWidth="1"/>
  </cols>
  <sheetData>
    <row r="1" ht="18">
      <c r="A1" s="1" t="s">
        <v>0</v>
      </c>
    </row>
    <row r="3" spans="2:16" ht="12.75">
      <c r="B3" s="15" t="s">
        <v>42</v>
      </c>
      <c r="C3" s="9" t="s">
        <v>1</v>
      </c>
      <c r="F3" s="2" t="s">
        <v>2</v>
      </c>
      <c r="G3" s="2"/>
      <c r="H3" s="2" t="s">
        <v>3</v>
      </c>
      <c r="N3" s="9" t="s">
        <v>48</v>
      </c>
      <c r="O3">
        <v>908</v>
      </c>
      <c r="P3" t="s">
        <v>71</v>
      </c>
    </row>
    <row r="4" spans="3:16" ht="12.75">
      <c r="C4" s="4" t="s">
        <v>8</v>
      </c>
      <c r="D4" s="6" t="s">
        <v>9</v>
      </c>
      <c r="E4" s="4" t="s">
        <v>4</v>
      </c>
      <c r="F4" s="3" t="s">
        <v>6</v>
      </c>
      <c r="G4" s="4" t="s">
        <v>7</v>
      </c>
      <c r="H4" s="5" t="b">
        <f>Route1_OpFeasValue=0</f>
        <v>1</v>
      </c>
      <c r="N4" s="9" t="s">
        <v>49</v>
      </c>
      <c r="O4">
        <v>1</v>
      </c>
      <c r="P4" t="s">
        <v>50</v>
      </c>
    </row>
    <row r="5" spans="2:19" ht="12.75">
      <c r="B5" s="15" t="s">
        <v>43</v>
      </c>
      <c r="C5" s="4" t="s">
        <v>10</v>
      </c>
      <c r="D5" s="6" t="s">
        <v>70</v>
      </c>
      <c r="E5" s="4" t="s">
        <v>5</v>
      </c>
      <c r="F5" s="5">
        <f>SUM(Route1_TravelCost)+SUM(Route1_DurCost)</f>
        <v>908</v>
      </c>
      <c r="G5" s="4" t="s">
        <v>5</v>
      </c>
      <c r="H5" s="5">
        <f>COUNTIF(Route1_OpValue,"=0")</f>
        <v>0</v>
      </c>
      <c r="N5" s="9" t="s">
        <v>51</v>
      </c>
      <c r="O5">
        <v>411</v>
      </c>
      <c r="P5" s="4" t="s">
        <v>52</v>
      </c>
      <c r="Q5">
        <v>11</v>
      </c>
      <c r="R5" s="4" t="s">
        <v>53</v>
      </c>
      <c r="S5">
        <v>400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54</v>
      </c>
      <c r="O6" s="16">
        <v>1</v>
      </c>
    </row>
    <row r="7" spans="2:15" ht="12.75">
      <c r="B7" s="15" t="s">
        <v>73</v>
      </c>
      <c r="C7" s="4" t="s">
        <v>19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55</v>
      </c>
      <c r="O7">
        <v>100</v>
      </c>
    </row>
    <row r="8" spans="3:11" ht="12.75">
      <c r="C8" s="4" t="s">
        <v>20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22</v>
      </c>
    </row>
    <row r="9" spans="3:15" ht="12.75">
      <c r="C9" s="4" t="s">
        <v>21</v>
      </c>
      <c r="D9" s="7">
        <v>4</v>
      </c>
      <c r="E9" s="7">
        <v>3</v>
      </c>
      <c r="F9" s="7">
        <v>8</v>
      </c>
      <c r="G9" s="7">
        <v>7</v>
      </c>
      <c r="H9" s="7">
        <v>2</v>
      </c>
      <c r="I9" s="7">
        <v>5</v>
      </c>
      <c r="J9" s="7">
        <v>6</v>
      </c>
      <c r="K9" s="7">
        <v>1</v>
      </c>
      <c r="O9" s="14" t="s">
        <v>45</v>
      </c>
    </row>
    <row r="10" spans="3:24" ht="12.75">
      <c r="C10" s="4" t="s">
        <v>15</v>
      </c>
      <c r="D10" s="8">
        <v>1</v>
      </c>
      <c r="E10" s="8">
        <f aca="true" t="shared" si="0" ref="E10:K10">INDEX(Route1_OpValue,1,D10)</f>
        <v>4</v>
      </c>
      <c r="F10" s="8">
        <f t="shared" si="0"/>
        <v>7</v>
      </c>
      <c r="G10" s="8">
        <f t="shared" si="0"/>
        <v>6</v>
      </c>
      <c r="H10" s="8">
        <f t="shared" si="0"/>
        <v>5</v>
      </c>
      <c r="I10" s="8">
        <f t="shared" si="0"/>
        <v>2</v>
      </c>
      <c r="J10" s="8">
        <f t="shared" si="0"/>
        <v>3</v>
      </c>
      <c r="K10" s="8">
        <f t="shared" si="0"/>
        <v>8</v>
      </c>
      <c r="O10" s="2" t="s">
        <v>46</v>
      </c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22</v>
      </c>
      <c r="X10" s="2" t="s">
        <v>47</v>
      </c>
    </row>
    <row r="11" spans="15:24" ht="12.75">
      <c r="O11" s="17">
        <v>65</v>
      </c>
      <c r="P11" s="17">
        <v>4</v>
      </c>
      <c r="Q11" s="17">
        <v>3</v>
      </c>
      <c r="R11" s="17">
        <v>8</v>
      </c>
      <c r="S11" s="17">
        <v>7</v>
      </c>
      <c r="T11" s="17">
        <v>2</v>
      </c>
      <c r="U11" s="17">
        <v>5</v>
      </c>
      <c r="V11" s="17">
        <v>6</v>
      </c>
      <c r="W11" s="17">
        <v>1</v>
      </c>
      <c r="X11" s="17">
        <v>908</v>
      </c>
    </row>
    <row r="12" spans="3:24" ht="12.75">
      <c r="C12" s="4" t="s">
        <v>30</v>
      </c>
      <c r="D12" s="8">
        <f aca="true" t="shared" si="1" ref="D12:K12">INDEX(Route1_OpObjMatrix,Route1_OpValue+1,)</f>
        <v>5</v>
      </c>
      <c r="E12" s="8">
        <f t="shared" si="1"/>
        <v>26</v>
      </c>
      <c r="F12" s="8">
        <f t="shared" si="1"/>
        <v>5</v>
      </c>
      <c r="G12" s="8">
        <f t="shared" si="1"/>
        <v>10</v>
      </c>
      <c r="H12" s="8">
        <f t="shared" si="1"/>
        <v>25</v>
      </c>
      <c r="I12" s="8">
        <f t="shared" si="1"/>
        <v>16</v>
      </c>
      <c r="J12" s="8">
        <f t="shared" si="1"/>
        <v>3</v>
      </c>
      <c r="K12" s="8">
        <f t="shared" si="1"/>
        <v>0</v>
      </c>
      <c r="O12" s="17">
        <v>411</v>
      </c>
      <c r="P12" s="17">
        <v>4</v>
      </c>
      <c r="Q12" s="17">
        <v>3</v>
      </c>
      <c r="R12" s="17">
        <v>8</v>
      </c>
      <c r="S12" s="17">
        <v>7</v>
      </c>
      <c r="T12" s="17">
        <v>2</v>
      </c>
      <c r="U12" s="17">
        <v>5</v>
      </c>
      <c r="V12" s="17">
        <v>6</v>
      </c>
      <c r="W12" s="17">
        <v>1</v>
      </c>
      <c r="X12" s="17">
        <v>908</v>
      </c>
    </row>
    <row r="13" spans="3:24" ht="12.75">
      <c r="C13" s="4"/>
      <c r="O13" s="17">
        <v>53</v>
      </c>
      <c r="P13" s="17">
        <v>4</v>
      </c>
      <c r="Q13" s="17">
        <v>5</v>
      </c>
      <c r="R13" s="17">
        <v>2</v>
      </c>
      <c r="S13" s="17">
        <v>7</v>
      </c>
      <c r="T13" s="17">
        <v>8</v>
      </c>
      <c r="U13" s="17">
        <v>3</v>
      </c>
      <c r="V13" s="17">
        <v>6</v>
      </c>
      <c r="W13" s="17">
        <v>1</v>
      </c>
      <c r="X13" s="17">
        <v>1047</v>
      </c>
    </row>
    <row r="14" spans="3:24" ht="12.75">
      <c r="C14" s="4" t="s">
        <v>29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O14" s="17">
        <v>52</v>
      </c>
      <c r="P14" s="17">
        <v>6</v>
      </c>
      <c r="Q14" s="17">
        <v>5</v>
      </c>
      <c r="R14" s="17">
        <v>2</v>
      </c>
      <c r="S14" s="17">
        <v>3</v>
      </c>
      <c r="T14" s="17">
        <v>8</v>
      </c>
      <c r="U14" s="17">
        <v>7</v>
      </c>
      <c r="V14" s="17">
        <v>4</v>
      </c>
      <c r="W14" s="17">
        <v>1</v>
      </c>
      <c r="X14" s="17">
        <v>1080</v>
      </c>
    </row>
    <row r="15" spans="3:24" ht="13.5" thickBot="1">
      <c r="C15" s="4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 t="s">
        <v>16</v>
      </c>
      <c r="M15" s="11" t="s">
        <v>17</v>
      </c>
      <c r="O15" s="17">
        <v>280</v>
      </c>
      <c r="P15" s="17">
        <v>3</v>
      </c>
      <c r="Q15" s="17">
        <v>8</v>
      </c>
      <c r="R15" s="17">
        <v>7</v>
      </c>
      <c r="S15" s="17">
        <v>5</v>
      </c>
      <c r="T15" s="17">
        <v>2</v>
      </c>
      <c r="U15" s="17">
        <v>4</v>
      </c>
      <c r="V15" s="17">
        <v>6</v>
      </c>
      <c r="W15" s="17">
        <v>1</v>
      </c>
      <c r="X15" s="17">
        <v>1081</v>
      </c>
    </row>
    <row r="16" spans="3:24" ht="15" thickBot="1" thickTop="1">
      <c r="C16" s="4">
        <v>1</v>
      </c>
      <c r="D16" s="10" t="s">
        <v>18</v>
      </c>
      <c r="E16" s="10" t="s">
        <v>18</v>
      </c>
      <c r="F16" s="10" t="s">
        <v>18</v>
      </c>
      <c r="G16" s="10" t="s">
        <v>18</v>
      </c>
      <c r="H16" s="10" t="s">
        <v>18</v>
      </c>
      <c r="I16" s="10" t="s">
        <v>18</v>
      </c>
      <c r="J16" s="10" t="s">
        <v>18</v>
      </c>
      <c r="K16" s="18">
        <v>0</v>
      </c>
      <c r="L16" s="12">
        <v>5.674233436584473</v>
      </c>
      <c r="M16" s="12">
        <v>30.911113739013672</v>
      </c>
      <c r="O16" s="17">
        <v>50</v>
      </c>
      <c r="P16" s="17">
        <v>7</v>
      </c>
      <c r="Q16" s="17">
        <v>5</v>
      </c>
      <c r="R16" s="17">
        <v>2</v>
      </c>
      <c r="S16" s="17">
        <v>3</v>
      </c>
      <c r="T16" s="17">
        <v>8</v>
      </c>
      <c r="U16" s="17">
        <v>4</v>
      </c>
      <c r="V16" s="17">
        <v>6</v>
      </c>
      <c r="W16" s="17">
        <v>1</v>
      </c>
      <c r="X16" s="17">
        <v>1082</v>
      </c>
    </row>
    <row r="17" spans="3:24" ht="15" thickBot="1" thickTop="1">
      <c r="C17" s="4">
        <v>2</v>
      </c>
      <c r="D17" s="10">
        <v>25</v>
      </c>
      <c r="E17" s="10" t="s">
        <v>18</v>
      </c>
      <c r="F17" s="10">
        <v>26</v>
      </c>
      <c r="G17" s="10">
        <v>25</v>
      </c>
      <c r="H17" s="18">
        <v>25</v>
      </c>
      <c r="I17" s="10">
        <v>24</v>
      </c>
      <c r="J17" s="10">
        <v>22</v>
      </c>
      <c r="K17" s="10" t="s">
        <v>18</v>
      </c>
      <c r="L17" s="12">
        <v>26.164827346801758</v>
      </c>
      <c r="M17" s="12">
        <v>15.010622024536133</v>
      </c>
      <c r="O17" s="17">
        <v>14</v>
      </c>
      <c r="P17" s="17">
        <v>6</v>
      </c>
      <c r="Q17" s="17">
        <v>8</v>
      </c>
      <c r="R17" s="17">
        <v>2</v>
      </c>
      <c r="S17" s="17">
        <v>3</v>
      </c>
      <c r="T17" s="17">
        <v>7</v>
      </c>
      <c r="U17" s="17">
        <v>5</v>
      </c>
      <c r="V17" s="17">
        <v>4</v>
      </c>
      <c r="W17" s="17">
        <v>1</v>
      </c>
      <c r="X17" s="17">
        <v>1093</v>
      </c>
    </row>
    <row r="18" spans="3:24" ht="15" thickBot="1" thickTop="1">
      <c r="C18" s="4">
        <v>3</v>
      </c>
      <c r="D18" s="10">
        <v>5</v>
      </c>
      <c r="E18" s="18">
        <v>26</v>
      </c>
      <c r="F18" s="10" t="s">
        <v>18</v>
      </c>
      <c r="G18" s="10">
        <v>10</v>
      </c>
      <c r="H18" s="10">
        <v>38</v>
      </c>
      <c r="I18" s="10">
        <v>24</v>
      </c>
      <c r="J18" s="10">
        <v>20</v>
      </c>
      <c r="K18" s="10" t="s">
        <v>18</v>
      </c>
      <c r="L18" s="12">
        <v>2.152438163757324</v>
      </c>
      <c r="M18" s="12">
        <v>27.189390182495117</v>
      </c>
      <c r="O18" s="17">
        <v>378</v>
      </c>
      <c r="P18" s="17">
        <v>3</v>
      </c>
      <c r="Q18" s="17">
        <v>5</v>
      </c>
      <c r="R18" s="17">
        <v>7</v>
      </c>
      <c r="S18" s="17">
        <v>8</v>
      </c>
      <c r="T18" s="17">
        <v>4</v>
      </c>
      <c r="U18" s="17">
        <v>2</v>
      </c>
      <c r="V18" s="17">
        <v>6</v>
      </c>
      <c r="W18" s="17">
        <v>1</v>
      </c>
      <c r="X18" s="17">
        <v>1103</v>
      </c>
    </row>
    <row r="19" spans="3:24" ht="15" thickBot="1" thickTop="1">
      <c r="C19" s="4">
        <v>4</v>
      </c>
      <c r="D19" s="18">
        <v>5</v>
      </c>
      <c r="E19" s="10">
        <v>25</v>
      </c>
      <c r="F19" s="10">
        <v>10</v>
      </c>
      <c r="G19" s="10" t="s">
        <v>18</v>
      </c>
      <c r="H19" s="10">
        <v>29</v>
      </c>
      <c r="I19" s="10">
        <v>14</v>
      </c>
      <c r="J19" s="10">
        <v>10</v>
      </c>
      <c r="K19" s="10" t="s">
        <v>18</v>
      </c>
      <c r="L19" s="12">
        <v>10.191326141357422</v>
      </c>
      <c r="M19" s="12">
        <v>34.34714126586914</v>
      </c>
      <c r="O19" s="17">
        <v>34</v>
      </c>
      <c r="P19" s="17">
        <v>3</v>
      </c>
      <c r="Q19" s="17">
        <v>8</v>
      </c>
      <c r="R19" s="17">
        <v>6</v>
      </c>
      <c r="S19" s="17">
        <v>7</v>
      </c>
      <c r="T19" s="17">
        <v>2</v>
      </c>
      <c r="U19" s="17">
        <v>4</v>
      </c>
      <c r="V19" s="17">
        <v>5</v>
      </c>
      <c r="W19" s="17">
        <v>1</v>
      </c>
      <c r="X19" s="17">
        <v>1112</v>
      </c>
    </row>
    <row r="20" spans="3:24" ht="15" thickBot="1" thickTop="1">
      <c r="C20" s="4">
        <v>5</v>
      </c>
      <c r="D20" s="10">
        <v>34</v>
      </c>
      <c r="E20" s="10">
        <v>25</v>
      </c>
      <c r="F20" s="10">
        <v>38</v>
      </c>
      <c r="G20" s="10">
        <v>29</v>
      </c>
      <c r="H20" s="10" t="s">
        <v>18</v>
      </c>
      <c r="I20" s="18">
        <v>16</v>
      </c>
      <c r="J20" s="10">
        <v>19</v>
      </c>
      <c r="K20" s="10" t="s">
        <v>18</v>
      </c>
      <c r="L20" s="12">
        <v>39.894832611083984</v>
      </c>
      <c r="M20" s="12">
        <v>36.70634460449219</v>
      </c>
      <c r="O20" s="17">
        <v>231</v>
      </c>
      <c r="P20" s="17">
        <v>3</v>
      </c>
      <c r="Q20" s="17">
        <v>7</v>
      </c>
      <c r="R20" s="17">
        <v>4</v>
      </c>
      <c r="S20" s="17">
        <v>5</v>
      </c>
      <c r="T20" s="17">
        <v>2</v>
      </c>
      <c r="U20" s="17">
        <v>8</v>
      </c>
      <c r="V20" s="17">
        <v>6</v>
      </c>
      <c r="W20" s="17">
        <v>1</v>
      </c>
      <c r="X20" s="17">
        <v>1116</v>
      </c>
    </row>
    <row r="21" spans="3:24" ht="15" thickBot="1" thickTop="1">
      <c r="C21" s="4">
        <v>6</v>
      </c>
      <c r="D21" s="10">
        <v>19</v>
      </c>
      <c r="E21" s="10">
        <v>24</v>
      </c>
      <c r="F21" s="10">
        <v>24</v>
      </c>
      <c r="G21" s="10">
        <v>14</v>
      </c>
      <c r="H21" s="10">
        <v>16</v>
      </c>
      <c r="I21" s="10" t="s">
        <v>18</v>
      </c>
      <c r="J21" s="18">
        <v>3</v>
      </c>
      <c r="K21" s="10" t="s">
        <v>18</v>
      </c>
      <c r="L21" s="12">
        <v>23.40804100036621</v>
      </c>
      <c r="M21" s="12">
        <v>39.39426040649414</v>
      </c>
      <c r="O21" s="17">
        <v>116</v>
      </c>
      <c r="P21" s="17">
        <v>7</v>
      </c>
      <c r="Q21" s="17">
        <v>8</v>
      </c>
      <c r="R21" s="17">
        <v>4</v>
      </c>
      <c r="S21" s="17">
        <v>6</v>
      </c>
      <c r="T21" s="17">
        <v>2</v>
      </c>
      <c r="U21" s="17">
        <v>5</v>
      </c>
      <c r="V21" s="17">
        <v>3</v>
      </c>
      <c r="W21" s="17">
        <v>1</v>
      </c>
      <c r="X21" s="17">
        <v>1149</v>
      </c>
    </row>
    <row r="22" spans="3:24" ht="15" thickBot="1" thickTop="1">
      <c r="C22" s="4">
        <v>7</v>
      </c>
      <c r="D22" s="10">
        <v>16</v>
      </c>
      <c r="E22" s="10">
        <v>22</v>
      </c>
      <c r="F22" s="10">
        <v>20</v>
      </c>
      <c r="G22" s="18">
        <v>10</v>
      </c>
      <c r="H22" s="10">
        <v>19</v>
      </c>
      <c r="I22" s="10">
        <v>3</v>
      </c>
      <c r="J22" s="10" t="s">
        <v>18</v>
      </c>
      <c r="K22" s="10" t="s">
        <v>18</v>
      </c>
      <c r="L22" s="12">
        <v>20.66167449951172</v>
      </c>
      <c r="M22" s="12">
        <v>36.681217193603516</v>
      </c>
      <c r="O22" s="17">
        <v>7</v>
      </c>
      <c r="P22" s="17">
        <v>6</v>
      </c>
      <c r="Q22" s="17">
        <v>4</v>
      </c>
      <c r="R22" s="17">
        <v>7</v>
      </c>
      <c r="S22" s="17">
        <v>3</v>
      </c>
      <c r="T22" s="17">
        <v>2</v>
      </c>
      <c r="U22" s="17">
        <v>5</v>
      </c>
      <c r="V22" s="17">
        <v>8</v>
      </c>
      <c r="W22" s="17">
        <v>1</v>
      </c>
      <c r="X22" s="17">
        <v>1189</v>
      </c>
    </row>
    <row r="23" spans="3:24" ht="15" thickBot="1" thickTop="1">
      <c r="C23" s="4">
        <v>8</v>
      </c>
      <c r="D23" s="10" t="s">
        <v>18</v>
      </c>
      <c r="E23" s="10">
        <v>25</v>
      </c>
      <c r="F23" s="18">
        <v>5</v>
      </c>
      <c r="G23" s="10">
        <v>5</v>
      </c>
      <c r="H23" s="10">
        <v>34</v>
      </c>
      <c r="I23" s="10">
        <v>19</v>
      </c>
      <c r="J23" s="10">
        <v>16</v>
      </c>
      <c r="K23" s="10" t="s">
        <v>18</v>
      </c>
      <c r="L23" s="12">
        <v>5.674233436584473</v>
      </c>
      <c r="M23" s="12">
        <v>30.911113739013672</v>
      </c>
      <c r="O23" s="17">
        <v>149</v>
      </c>
      <c r="P23" s="17">
        <v>7</v>
      </c>
      <c r="Q23" s="17">
        <v>4</v>
      </c>
      <c r="R23" s="17">
        <v>8</v>
      </c>
      <c r="S23" s="17">
        <v>6</v>
      </c>
      <c r="T23" s="17">
        <v>2</v>
      </c>
      <c r="U23" s="17">
        <v>3</v>
      </c>
      <c r="V23" s="17">
        <v>5</v>
      </c>
      <c r="W23" s="17">
        <v>1</v>
      </c>
      <c r="X23" s="17">
        <v>1189</v>
      </c>
    </row>
    <row r="24" spans="15:24" ht="13.5" thickTop="1">
      <c r="O24" s="17">
        <v>5</v>
      </c>
      <c r="P24" s="17">
        <v>7</v>
      </c>
      <c r="Q24" s="17">
        <v>4</v>
      </c>
      <c r="R24" s="17">
        <v>6</v>
      </c>
      <c r="S24" s="17">
        <v>3</v>
      </c>
      <c r="T24" s="17">
        <v>2</v>
      </c>
      <c r="U24" s="17">
        <v>8</v>
      </c>
      <c r="V24" s="17">
        <v>5</v>
      </c>
      <c r="W24" s="17">
        <v>1</v>
      </c>
      <c r="X24" s="17">
        <v>1214</v>
      </c>
    </row>
    <row r="25" spans="4:24" ht="12.75">
      <c r="D25" s="13" t="str">
        <f aca="true" t="shared" si="2" ref="D25:K25">Route1_OpVarName</f>
        <v>Depot</v>
      </c>
      <c r="E25" s="13" t="str">
        <f t="shared" si="2"/>
        <v>S1</v>
      </c>
      <c r="F25" s="13" t="str">
        <f t="shared" si="2"/>
        <v>S2</v>
      </c>
      <c r="G25" s="13" t="str">
        <f t="shared" si="2"/>
        <v>S3</v>
      </c>
      <c r="H25" s="13" t="str">
        <f t="shared" si="2"/>
        <v>S4</v>
      </c>
      <c r="I25" s="13" t="str">
        <f t="shared" si="2"/>
        <v>S5</v>
      </c>
      <c r="J25" s="13" t="str">
        <f t="shared" si="2"/>
        <v>S6</v>
      </c>
      <c r="K25" s="13" t="str">
        <f t="shared" si="2"/>
        <v>Depot</v>
      </c>
      <c r="O25" s="17">
        <v>1</v>
      </c>
      <c r="P25" s="17">
        <v>4</v>
      </c>
      <c r="Q25" s="17">
        <v>7</v>
      </c>
      <c r="R25" s="17">
        <v>6</v>
      </c>
      <c r="S25" s="17">
        <v>5</v>
      </c>
      <c r="T25" s="17">
        <v>2</v>
      </c>
      <c r="U25" s="17">
        <v>8</v>
      </c>
      <c r="V25" s="17">
        <v>3</v>
      </c>
      <c r="W25" s="17">
        <v>1</v>
      </c>
      <c r="X25" s="17">
        <v>1218</v>
      </c>
    </row>
    <row r="26" spans="3:24" ht="12.75">
      <c r="C26" s="4" t="s">
        <v>31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O26" s="17">
        <v>329</v>
      </c>
      <c r="P26" s="17">
        <v>6</v>
      </c>
      <c r="Q26" s="17">
        <v>8</v>
      </c>
      <c r="R26" s="17">
        <v>5</v>
      </c>
      <c r="S26" s="17">
        <v>3</v>
      </c>
      <c r="T26" s="17">
        <v>7</v>
      </c>
      <c r="U26" s="17">
        <v>4</v>
      </c>
      <c r="V26" s="17">
        <v>2</v>
      </c>
      <c r="W26" s="17">
        <v>1</v>
      </c>
      <c r="X26" s="17">
        <v>1227</v>
      </c>
    </row>
    <row r="27" spans="3:24" ht="12.75">
      <c r="C27" s="4" t="s">
        <v>32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O27" s="17">
        <v>198</v>
      </c>
      <c r="P27" s="17">
        <v>2</v>
      </c>
      <c r="Q27" s="17">
        <v>4</v>
      </c>
      <c r="R27" s="17">
        <v>6</v>
      </c>
      <c r="S27" s="17">
        <v>3</v>
      </c>
      <c r="T27" s="17">
        <v>7</v>
      </c>
      <c r="U27" s="17">
        <v>5</v>
      </c>
      <c r="V27" s="17">
        <v>8</v>
      </c>
      <c r="W27" s="17">
        <v>1</v>
      </c>
      <c r="X27" s="17">
        <v>1293</v>
      </c>
    </row>
    <row r="28" spans="3:24" ht="12.75">
      <c r="C28" s="4" t="s">
        <v>33</v>
      </c>
      <c r="D28" s="10">
        <v>1</v>
      </c>
      <c r="E28" s="10">
        <v>26</v>
      </c>
      <c r="F28" s="10">
        <v>30</v>
      </c>
      <c r="G28" s="10">
        <v>18</v>
      </c>
      <c r="H28" s="10">
        <v>10</v>
      </c>
      <c r="I28" s="10">
        <v>17</v>
      </c>
      <c r="J28" s="10">
        <v>19</v>
      </c>
      <c r="K28" s="10">
        <v>1</v>
      </c>
      <c r="O28" s="17">
        <v>83</v>
      </c>
      <c r="P28" s="17">
        <v>2</v>
      </c>
      <c r="Q28" s="17">
        <v>6</v>
      </c>
      <c r="R28" s="17">
        <v>5</v>
      </c>
      <c r="S28" s="17">
        <v>8</v>
      </c>
      <c r="T28" s="17">
        <v>7</v>
      </c>
      <c r="U28" s="17">
        <v>3</v>
      </c>
      <c r="V28" s="17">
        <v>4</v>
      </c>
      <c r="W28" s="17">
        <v>1</v>
      </c>
      <c r="X28" s="17">
        <v>1394</v>
      </c>
    </row>
    <row r="29" spans="3:11" ht="12.75">
      <c r="C29" s="4" t="s">
        <v>34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3:11" ht="12.75">
      <c r="C30" s="4" t="s">
        <v>35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</row>
    <row r="32" spans="4:11" ht="12.75">
      <c r="D32" s="2" t="str">
        <f aca="true" t="shared" si="3" ref="D32:K32">INDEX(Route1_OpVarName,1,Route1_OpSequence)</f>
        <v>Depot</v>
      </c>
      <c r="E32" s="2" t="str">
        <f t="shared" si="3"/>
        <v>S3</v>
      </c>
      <c r="F32" s="2" t="str">
        <f t="shared" si="3"/>
        <v>S6</v>
      </c>
      <c r="G32" s="2" t="str">
        <f t="shared" si="3"/>
        <v>S5</v>
      </c>
      <c r="H32" s="2" t="str">
        <f t="shared" si="3"/>
        <v>S4</v>
      </c>
      <c r="I32" s="2" t="str">
        <f t="shared" si="3"/>
        <v>S1</v>
      </c>
      <c r="J32" s="2" t="str">
        <f t="shared" si="3"/>
        <v>S2</v>
      </c>
      <c r="K32" s="2" t="str">
        <f t="shared" si="3"/>
        <v>Depot</v>
      </c>
    </row>
    <row r="33" spans="3:11" ht="12.75">
      <c r="C33" s="4" t="s">
        <v>15</v>
      </c>
      <c r="D33" s="8">
        <f aca="true" t="shared" si="4" ref="D33:K33">Route1_OpSequence</f>
        <v>1</v>
      </c>
      <c r="E33" s="8">
        <f t="shared" si="4"/>
        <v>4</v>
      </c>
      <c r="F33" s="8">
        <f t="shared" si="4"/>
        <v>7</v>
      </c>
      <c r="G33" s="8">
        <f t="shared" si="4"/>
        <v>6</v>
      </c>
      <c r="H33" s="8">
        <f t="shared" si="4"/>
        <v>5</v>
      </c>
      <c r="I33" s="8">
        <f t="shared" si="4"/>
        <v>2</v>
      </c>
      <c r="J33" s="8">
        <f t="shared" si="4"/>
        <v>3</v>
      </c>
      <c r="K33" s="8">
        <f t="shared" si="4"/>
        <v>8</v>
      </c>
    </row>
    <row r="34" spans="3:11" ht="12.75">
      <c r="C34" s="4" t="s">
        <v>36</v>
      </c>
      <c r="D34" s="8">
        <f aca="true" t="shared" si="5" ref="D34:K34">INDEX(Route1_Release,1,Route1_OpSequence)</f>
        <v>0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</row>
    <row r="36" spans="3:11" ht="12.75">
      <c r="C36" s="4" t="s">
        <v>33</v>
      </c>
      <c r="D36" s="8">
        <f aca="true" t="shared" si="6" ref="D36:K36">INDEX(Route1_Process,1,Route1_OpSequence)</f>
        <v>1</v>
      </c>
      <c r="E36" s="8">
        <f t="shared" si="6"/>
        <v>18</v>
      </c>
      <c r="F36" s="8">
        <f t="shared" si="6"/>
        <v>19</v>
      </c>
      <c r="G36" s="8">
        <f t="shared" si="6"/>
        <v>17</v>
      </c>
      <c r="H36" s="8">
        <f t="shared" si="6"/>
        <v>10</v>
      </c>
      <c r="I36" s="8">
        <f t="shared" si="6"/>
        <v>26</v>
      </c>
      <c r="J36" s="8">
        <f t="shared" si="6"/>
        <v>30</v>
      </c>
      <c r="K36" s="8">
        <f t="shared" si="6"/>
        <v>1</v>
      </c>
    </row>
    <row r="37" spans="3:11" ht="12.75">
      <c r="C37" s="4" t="s">
        <v>37</v>
      </c>
      <c r="D37" s="8">
        <f aca="true" t="shared" si="7" ref="D37:K37">INDEX(Route1_OpObjTerms,1,Route1_OpSequence)*INDEX(Route1_TimeDistance,1,Route1_OpSequence)</f>
        <v>5</v>
      </c>
      <c r="E37" s="8">
        <f t="shared" si="7"/>
        <v>10</v>
      </c>
      <c r="F37" s="8">
        <f t="shared" si="7"/>
        <v>3</v>
      </c>
      <c r="G37" s="8">
        <f t="shared" si="7"/>
        <v>16</v>
      </c>
      <c r="H37" s="8">
        <f t="shared" si="7"/>
        <v>25</v>
      </c>
      <c r="I37" s="8">
        <f t="shared" si="7"/>
        <v>26</v>
      </c>
      <c r="J37" s="8">
        <f t="shared" si="7"/>
        <v>5</v>
      </c>
      <c r="K37" s="8">
        <f t="shared" si="7"/>
        <v>0</v>
      </c>
    </row>
    <row r="38" spans="3:11" ht="12.75">
      <c r="C38" s="4" t="s">
        <v>38</v>
      </c>
      <c r="D38" s="8">
        <f>D34</f>
        <v>0</v>
      </c>
      <c r="E38" s="8">
        <f aca="true" t="shared" si="8" ref="E38:K38">MAX(D39+D37,E34)</f>
        <v>6</v>
      </c>
      <c r="F38" s="8">
        <f t="shared" si="8"/>
        <v>34</v>
      </c>
      <c r="G38" s="8">
        <f t="shared" si="8"/>
        <v>56</v>
      </c>
      <c r="H38" s="8">
        <f t="shared" si="8"/>
        <v>89</v>
      </c>
      <c r="I38" s="8">
        <f t="shared" si="8"/>
        <v>124</v>
      </c>
      <c r="J38" s="8">
        <f t="shared" si="8"/>
        <v>176</v>
      </c>
      <c r="K38" s="8">
        <f t="shared" si="8"/>
        <v>211</v>
      </c>
    </row>
    <row r="39" spans="3:11" ht="12.75">
      <c r="C39" s="4" t="s">
        <v>39</v>
      </c>
      <c r="D39" s="8">
        <f aca="true" t="shared" si="9" ref="D39:K39">D38+D36</f>
        <v>1</v>
      </c>
      <c r="E39" s="8">
        <f t="shared" si="9"/>
        <v>24</v>
      </c>
      <c r="F39" s="8">
        <f t="shared" si="9"/>
        <v>53</v>
      </c>
      <c r="G39" s="8">
        <f t="shared" si="9"/>
        <v>73</v>
      </c>
      <c r="H39" s="8">
        <f t="shared" si="9"/>
        <v>99</v>
      </c>
      <c r="I39" s="8">
        <f t="shared" si="9"/>
        <v>150</v>
      </c>
      <c r="J39" s="8">
        <f t="shared" si="9"/>
        <v>206</v>
      </c>
      <c r="K39" s="8">
        <f t="shared" si="9"/>
        <v>212</v>
      </c>
    </row>
    <row r="42" spans="3:11" ht="12.75">
      <c r="C42" s="4" t="s">
        <v>40</v>
      </c>
      <c r="D42" s="8">
        <f aca="true" t="shared" si="10" ref="D42:K42">INDEX(Route1_OpObjTerms,1,Route1_OpSequence)*INDEX(Route1_CostDistance,1,Route1_OpSequence)</f>
        <v>5</v>
      </c>
      <c r="E42" s="8">
        <f t="shared" si="10"/>
        <v>10</v>
      </c>
      <c r="F42" s="8">
        <f t="shared" si="10"/>
        <v>3</v>
      </c>
      <c r="G42" s="8">
        <f t="shared" si="10"/>
        <v>16</v>
      </c>
      <c r="H42" s="8">
        <f t="shared" si="10"/>
        <v>25</v>
      </c>
      <c r="I42" s="8">
        <f t="shared" si="10"/>
        <v>26</v>
      </c>
      <c r="J42" s="8">
        <f t="shared" si="10"/>
        <v>5</v>
      </c>
      <c r="K42" s="8">
        <f t="shared" si="10"/>
        <v>0</v>
      </c>
    </row>
    <row r="43" spans="3:11" ht="12.75">
      <c r="C43" s="4" t="s">
        <v>41</v>
      </c>
      <c r="D43" s="8">
        <f aca="true" t="shared" si="11" ref="D43:K43">Route1_Finish*INDEX(Route1_UnitDuration,1,Route1_OpSequence)</f>
        <v>1</v>
      </c>
      <c r="E43" s="8">
        <f t="shared" si="11"/>
        <v>24</v>
      </c>
      <c r="F43" s="8">
        <f t="shared" si="11"/>
        <v>53</v>
      </c>
      <c r="G43" s="8">
        <f t="shared" si="11"/>
        <v>73</v>
      </c>
      <c r="H43" s="8">
        <f t="shared" si="11"/>
        <v>99</v>
      </c>
      <c r="I43" s="8">
        <f t="shared" si="11"/>
        <v>150</v>
      </c>
      <c r="J43" s="8">
        <f t="shared" si="11"/>
        <v>206</v>
      </c>
      <c r="K43" s="8">
        <f t="shared" si="11"/>
        <v>212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F4"/>
  <sheetViews>
    <sheetView zoomScale="75" zoomScaleNormal="75" workbookViewId="0" topLeftCell="A1">
      <selection activeCell="BM35" sqref="BM35"/>
    </sheetView>
  </sheetViews>
  <sheetFormatPr defaultColWidth="11.00390625" defaultRowHeight="12.75"/>
  <cols>
    <col min="1" max="1" width="10.75390625" style="4" customWidth="1"/>
    <col min="2" max="214" width="2.75390625" style="42" customWidth="1"/>
    <col min="215" max="16384" width="3.75390625" style="0" customWidth="1"/>
  </cols>
  <sheetData>
    <row r="1" spans="1:214" s="20" customFormat="1" ht="18">
      <c r="A1" s="19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</row>
    <row r="2" spans="1:214" s="2" customFormat="1" ht="12.75">
      <c r="A2" s="4" t="s">
        <v>58</v>
      </c>
      <c r="B2" s="22">
        <v>1</v>
      </c>
      <c r="C2" s="22">
        <v>4</v>
      </c>
      <c r="D2" s="22">
        <v>7</v>
      </c>
      <c r="E2" s="22">
        <v>6</v>
      </c>
      <c r="F2" s="22">
        <v>5</v>
      </c>
      <c r="G2" s="22">
        <v>2</v>
      </c>
      <c r="H2" s="22">
        <v>3</v>
      </c>
      <c r="I2" s="22">
        <v>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</row>
    <row r="3" spans="1:214" s="20" customFormat="1" ht="13.5" thickBot="1">
      <c r="A3" s="4" t="s">
        <v>59</v>
      </c>
      <c r="B3" s="21">
        <v>0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>
        <v>25</v>
      </c>
      <c r="AB3" s="21">
        <v>26</v>
      </c>
      <c r="AC3" s="21">
        <v>27</v>
      </c>
      <c r="AD3" s="21">
        <v>28</v>
      </c>
      <c r="AE3" s="21">
        <v>29</v>
      </c>
      <c r="AF3" s="21">
        <v>30</v>
      </c>
      <c r="AG3" s="21">
        <v>31</v>
      </c>
      <c r="AH3" s="21">
        <v>32</v>
      </c>
      <c r="AI3" s="21">
        <v>33</v>
      </c>
      <c r="AJ3" s="21">
        <v>34</v>
      </c>
      <c r="AK3" s="21">
        <v>35</v>
      </c>
      <c r="AL3" s="21">
        <v>36</v>
      </c>
      <c r="AM3" s="21">
        <v>37</v>
      </c>
      <c r="AN3" s="21">
        <v>38</v>
      </c>
      <c r="AO3" s="21">
        <v>39</v>
      </c>
      <c r="AP3" s="21">
        <v>40</v>
      </c>
      <c r="AQ3" s="21">
        <v>41</v>
      </c>
      <c r="AR3" s="21">
        <v>42</v>
      </c>
      <c r="AS3" s="21">
        <v>43</v>
      </c>
      <c r="AT3" s="21">
        <v>44</v>
      </c>
      <c r="AU3" s="21">
        <v>45</v>
      </c>
      <c r="AV3" s="21">
        <v>46</v>
      </c>
      <c r="AW3" s="21">
        <v>47</v>
      </c>
      <c r="AX3" s="21">
        <v>48</v>
      </c>
      <c r="AY3" s="21">
        <v>49</v>
      </c>
      <c r="AZ3" s="21">
        <v>50</v>
      </c>
      <c r="BA3" s="21">
        <v>51</v>
      </c>
      <c r="BB3" s="21">
        <v>52</v>
      </c>
      <c r="BC3" s="21">
        <v>53</v>
      </c>
      <c r="BD3" s="21">
        <v>54</v>
      </c>
      <c r="BE3" s="21">
        <v>55</v>
      </c>
      <c r="BF3" s="21">
        <v>56</v>
      </c>
      <c r="BG3" s="21">
        <v>57</v>
      </c>
      <c r="BH3" s="21">
        <v>58</v>
      </c>
      <c r="BI3" s="21">
        <v>59</v>
      </c>
      <c r="BJ3" s="21">
        <v>60</v>
      </c>
      <c r="BK3" s="21">
        <v>61</v>
      </c>
      <c r="BL3" s="21">
        <v>62</v>
      </c>
      <c r="BM3" s="21">
        <v>63</v>
      </c>
      <c r="BN3" s="21">
        <v>64</v>
      </c>
      <c r="BO3" s="21">
        <v>65</v>
      </c>
      <c r="BP3" s="21">
        <v>66</v>
      </c>
      <c r="BQ3" s="21">
        <v>67</v>
      </c>
      <c r="BR3" s="21">
        <v>68</v>
      </c>
      <c r="BS3" s="21">
        <v>69</v>
      </c>
      <c r="BT3" s="21">
        <v>70</v>
      </c>
      <c r="BU3" s="21">
        <v>71</v>
      </c>
      <c r="BV3" s="21">
        <v>72</v>
      </c>
      <c r="BW3" s="21">
        <v>73</v>
      </c>
      <c r="BX3" s="21">
        <v>74</v>
      </c>
      <c r="BY3" s="21">
        <v>75</v>
      </c>
      <c r="BZ3" s="21">
        <v>76</v>
      </c>
      <c r="CA3" s="21">
        <v>77</v>
      </c>
      <c r="CB3" s="21">
        <v>78</v>
      </c>
      <c r="CC3" s="21">
        <v>79</v>
      </c>
      <c r="CD3" s="21">
        <v>80</v>
      </c>
      <c r="CE3" s="21">
        <v>81</v>
      </c>
      <c r="CF3" s="21">
        <v>82</v>
      </c>
      <c r="CG3" s="21">
        <v>83</v>
      </c>
      <c r="CH3" s="21">
        <v>84</v>
      </c>
      <c r="CI3" s="21">
        <v>85</v>
      </c>
      <c r="CJ3" s="21">
        <v>86</v>
      </c>
      <c r="CK3" s="21">
        <v>87</v>
      </c>
      <c r="CL3" s="21">
        <v>88</v>
      </c>
      <c r="CM3" s="21">
        <v>89</v>
      </c>
      <c r="CN3" s="21">
        <v>90</v>
      </c>
      <c r="CO3" s="21">
        <v>91</v>
      </c>
      <c r="CP3" s="21">
        <v>92</v>
      </c>
      <c r="CQ3" s="21">
        <v>93</v>
      </c>
      <c r="CR3" s="21">
        <v>94</v>
      </c>
      <c r="CS3" s="21">
        <v>95</v>
      </c>
      <c r="CT3" s="21">
        <v>96</v>
      </c>
      <c r="CU3" s="21">
        <v>97</v>
      </c>
      <c r="CV3" s="21">
        <v>98</v>
      </c>
      <c r="CW3" s="21">
        <v>99</v>
      </c>
      <c r="CX3" s="21">
        <v>100</v>
      </c>
      <c r="CY3" s="21">
        <v>101</v>
      </c>
      <c r="CZ3" s="21">
        <v>102</v>
      </c>
      <c r="DA3" s="21">
        <v>103</v>
      </c>
      <c r="DB3" s="21">
        <v>104</v>
      </c>
      <c r="DC3" s="21">
        <v>105</v>
      </c>
      <c r="DD3" s="21">
        <v>106</v>
      </c>
      <c r="DE3" s="21">
        <v>107</v>
      </c>
      <c r="DF3" s="21">
        <v>108</v>
      </c>
      <c r="DG3" s="21">
        <v>109</v>
      </c>
      <c r="DH3" s="21">
        <v>110</v>
      </c>
      <c r="DI3" s="21">
        <v>111</v>
      </c>
      <c r="DJ3" s="21">
        <v>112</v>
      </c>
      <c r="DK3" s="21">
        <v>113</v>
      </c>
      <c r="DL3" s="21">
        <v>114</v>
      </c>
      <c r="DM3" s="21">
        <v>115</v>
      </c>
      <c r="DN3" s="21">
        <v>116</v>
      </c>
      <c r="DO3" s="21">
        <v>117</v>
      </c>
      <c r="DP3" s="21">
        <v>118</v>
      </c>
      <c r="DQ3" s="21">
        <v>119</v>
      </c>
      <c r="DR3" s="21">
        <v>120</v>
      </c>
      <c r="DS3" s="21">
        <v>121</v>
      </c>
      <c r="DT3" s="21">
        <v>122</v>
      </c>
      <c r="DU3" s="21">
        <v>123</v>
      </c>
      <c r="DV3" s="21">
        <v>124</v>
      </c>
      <c r="DW3" s="21">
        <v>125</v>
      </c>
      <c r="DX3" s="21">
        <v>126</v>
      </c>
      <c r="DY3" s="21">
        <v>127</v>
      </c>
      <c r="DZ3" s="21">
        <v>128</v>
      </c>
      <c r="EA3" s="21">
        <v>129</v>
      </c>
      <c r="EB3" s="21">
        <v>130</v>
      </c>
      <c r="EC3" s="21">
        <v>131</v>
      </c>
      <c r="ED3" s="21">
        <v>132</v>
      </c>
      <c r="EE3" s="21">
        <v>133</v>
      </c>
      <c r="EF3" s="21">
        <v>134</v>
      </c>
      <c r="EG3" s="21">
        <v>135</v>
      </c>
      <c r="EH3" s="21">
        <v>136</v>
      </c>
      <c r="EI3" s="21">
        <v>137</v>
      </c>
      <c r="EJ3" s="21">
        <v>138</v>
      </c>
      <c r="EK3" s="21">
        <v>139</v>
      </c>
      <c r="EL3" s="21">
        <v>140</v>
      </c>
      <c r="EM3" s="21">
        <v>141</v>
      </c>
      <c r="EN3" s="21">
        <v>142</v>
      </c>
      <c r="EO3" s="21">
        <v>143</v>
      </c>
      <c r="EP3" s="21">
        <v>144</v>
      </c>
      <c r="EQ3" s="21">
        <v>145</v>
      </c>
      <c r="ER3" s="21">
        <v>146</v>
      </c>
      <c r="ES3" s="21">
        <v>147</v>
      </c>
      <c r="ET3" s="21">
        <v>148</v>
      </c>
      <c r="EU3" s="21">
        <v>149</v>
      </c>
      <c r="EV3" s="21">
        <v>150</v>
      </c>
      <c r="EW3" s="21">
        <v>151</v>
      </c>
      <c r="EX3" s="21">
        <v>152</v>
      </c>
      <c r="EY3" s="21">
        <v>153</v>
      </c>
      <c r="EZ3" s="21">
        <v>154</v>
      </c>
      <c r="FA3" s="21">
        <v>155</v>
      </c>
      <c r="FB3" s="21">
        <v>156</v>
      </c>
      <c r="FC3" s="21">
        <v>157</v>
      </c>
      <c r="FD3" s="21">
        <v>158</v>
      </c>
      <c r="FE3" s="21">
        <v>159</v>
      </c>
      <c r="FF3" s="21">
        <v>160</v>
      </c>
      <c r="FG3" s="21">
        <v>161</v>
      </c>
      <c r="FH3" s="21">
        <v>162</v>
      </c>
      <c r="FI3" s="21">
        <v>163</v>
      </c>
      <c r="FJ3" s="21">
        <v>164</v>
      </c>
      <c r="FK3" s="21">
        <v>165</v>
      </c>
      <c r="FL3" s="21">
        <v>166</v>
      </c>
      <c r="FM3" s="21">
        <v>167</v>
      </c>
      <c r="FN3" s="21">
        <v>168</v>
      </c>
      <c r="FO3" s="21">
        <v>169</v>
      </c>
      <c r="FP3" s="21">
        <v>170</v>
      </c>
      <c r="FQ3" s="21">
        <v>171</v>
      </c>
      <c r="FR3" s="21">
        <v>172</v>
      </c>
      <c r="FS3" s="21">
        <v>173</v>
      </c>
      <c r="FT3" s="21">
        <v>174</v>
      </c>
      <c r="FU3" s="21">
        <v>175</v>
      </c>
      <c r="FV3" s="21">
        <v>176</v>
      </c>
      <c r="FW3" s="21">
        <v>177</v>
      </c>
      <c r="FX3" s="21">
        <v>178</v>
      </c>
      <c r="FY3" s="21">
        <v>179</v>
      </c>
      <c r="FZ3" s="21">
        <v>180</v>
      </c>
      <c r="GA3" s="21">
        <v>181</v>
      </c>
      <c r="GB3" s="21">
        <v>182</v>
      </c>
      <c r="GC3" s="21">
        <v>183</v>
      </c>
      <c r="GD3" s="21">
        <v>184</v>
      </c>
      <c r="GE3" s="21">
        <v>185</v>
      </c>
      <c r="GF3" s="21">
        <v>186</v>
      </c>
      <c r="GG3" s="21">
        <v>187</v>
      </c>
      <c r="GH3" s="21">
        <v>188</v>
      </c>
      <c r="GI3" s="21">
        <v>189</v>
      </c>
      <c r="GJ3" s="21">
        <v>190</v>
      </c>
      <c r="GK3" s="21">
        <v>191</v>
      </c>
      <c r="GL3" s="21">
        <v>192</v>
      </c>
      <c r="GM3" s="21">
        <v>193</v>
      </c>
      <c r="GN3" s="21">
        <v>194</v>
      </c>
      <c r="GO3" s="21">
        <v>195</v>
      </c>
      <c r="GP3" s="21">
        <v>196</v>
      </c>
      <c r="GQ3" s="21">
        <v>197</v>
      </c>
      <c r="GR3" s="21">
        <v>198</v>
      </c>
      <c r="GS3" s="21">
        <v>199</v>
      </c>
      <c r="GT3" s="21">
        <v>200</v>
      </c>
      <c r="GU3" s="21">
        <v>201</v>
      </c>
      <c r="GV3" s="21">
        <v>202</v>
      </c>
      <c r="GW3" s="21">
        <v>203</v>
      </c>
      <c r="GX3" s="21">
        <v>204</v>
      </c>
      <c r="GY3" s="21">
        <v>205</v>
      </c>
      <c r="GZ3" s="21">
        <v>206</v>
      </c>
      <c r="HA3" s="21">
        <v>207</v>
      </c>
      <c r="HB3" s="21">
        <v>208</v>
      </c>
      <c r="HC3" s="21">
        <v>209</v>
      </c>
      <c r="HD3" s="21">
        <v>210</v>
      </c>
      <c r="HE3" s="21">
        <v>211</v>
      </c>
      <c r="HF3" s="21">
        <v>212</v>
      </c>
    </row>
    <row r="4" spans="1:213" ht="15" thickBot="1" thickTop="1">
      <c r="A4" s="4" t="s">
        <v>60</v>
      </c>
      <c r="B4" s="23" t="s">
        <v>22</v>
      </c>
      <c r="C4" s="24"/>
      <c r="D4" s="29"/>
      <c r="E4" s="29"/>
      <c r="F4" s="29"/>
      <c r="G4" s="25"/>
      <c r="H4" s="33" t="s">
        <v>25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24"/>
      <c r="AA4" s="29"/>
      <c r="AB4" s="29"/>
      <c r="AC4" s="29"/>
      <c r="AD4" s="29"/>
      <c r="AE4" s="29"/>
      <c r="AF4" s="29"/>
      <c r="AG4" s="29"/>
      <c r="AH4" s="29"/>
      <c r="AI4" s="25"/>
      <c r="AJ4" s="43" t="s">
        <v>28</v>
      </c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  <c r="BC4" s="24"/>
      <c r="BD4" s="29"/>
      <c r="BE4" s="25"/>
      <c r="BF4" s="36" t="s">
        <v>27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24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5"/>
      <c r="CM4" s="26" t="s">
        <v>26</v>
      </c>
      <c r="CN4" s="27"/>
      <c r="CO4" s="27"/>
      <c r="CP4" s="27"/>
      <c r="CQ4" s="27"/>
      <c r="CR4" s="27"/>
      <c r="CS4" s="27"/>
      <c r="CT4" s="27"/>
      <c r="CU4" s="27"/>
      <c r="CV4" s="28"/>
      <c r="CW4" s="24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5"/>
      <c r="DV4" s="30" t="s">
        <v>23</v>
      </c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2"/>
      <c r="EV4" s="24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5"/>
      <c r="FV4" s="39" t="s">
        <v>24</v>
      </c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1"/>
      <c r="GZ4" s="24"/>
      <c r="HA4" s="29"/>
      <c r="HB4" s="29"/>
      <c r="HC4" s="29"/>
      <c r="HD4" s="25"/>
      <c r="HE4" s="23" t="s">
        <v>22</v>
      </c>
    </row>
    <row r="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P31"/>
  <sheetViews>
    <sheetView zoomScale="50" zoomScaleNormal="50" workbookViewId="0" topLeftCell="C1">
      <selection activeCell="AT37" sqref="AT37"/>
    </sheetView>
  </sheetViews>
  <sheetFormatPr defaultColWidth="11.00390625" defaultRowHeight="12.75"/>
  <cols>
    <col min="3" max="42" width="5.75390625" style="0" customWidth="1"/>
  </cols>
  <sheetData>
    <row r="1" ht="18">
      <c r="A1" s="1" t="s">
        <v>74</v>
      </c>
    </row>
    <row r="2" spans="2:9" ht="12.75">
      <c r="B2" s="49" t="s">
        <v>75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</row>
    <row r="3" spans="2:9" ht="12.75">
      <c r="B3" s="49" t="s">
        <v>58</v>
      </c>
      <c r="C3">
        <v>1</v>
      </c>
      <c r="D3">
        <v>4</v>
      </c>
      <c r="E3">
        <v>7</v>
      </c>
      <c r="F3">
        <v>6</v>
      </c>
      <c r="G3">
        <v>5</v>
      </c>
      <c r="H3">
        <v>2</v>
      </c>
      <c r="I3">
        <v>3</v>
      </c>
    </row>
    <row r="4" ht="34.5" customHeight="1">
      <c r="B4" s="49" t="s">
        <v>17</v>
      </c>
    </row>
    <row r="5" ht="34.5" customHeight="1">
      <c r="B5" s="2">
        <v>40</v>
      </c>
    </row>
    <row r="6" spans="2:40" ht="34.5" customHeight="1">
      <c r="B6" s="2">
        <v>39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2:40" ht="34.5" customHeight="1">
      <c r="B7" s="2">
        <v>38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2:40" ht="34.5" customHeight="1">
      <c r="B8" s="2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2:40" ht="34.5" customHeight="1">
      <c r="B9" s="2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ht="34.5" customHeight="1">
      <c r="B10" s="2">
        <v>35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ht="34.5" customHeight="1">
      <c r="B11" s="2">
        <v>34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ht="34.5" customHeight="1">
      <c r="B12" s="2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ht="34.5" customHeight="1">
      <c r="B13" s="2">
        <v>32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ht="34.5" customHeight="1">
      <c r="B14" s="2">
        <v>31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ht="34.5" customHeight="1">
      <c r="B15" s="2">
        <v>30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ht="34.5" customHeight="1">
      <c r="B16" s="2">
        <v>29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ht="34.5" customHeight="1">
      <c r="B17" s="2">
        <v>28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ht="34.5" customHeight="1">
      <c r="B18" s="2">
        <v>27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ht="34.5" customHeight="1">
      <c r="B19" s="2">
        <v>26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ht="34.5" customHeight="1">
      <c r="B20" s="2">
        <v>25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ht="34.5" customHeight="1">
      <c r="B21" s="2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ht="34.5" customHeight="1">
      <c r="B22" s="2">
        <v>23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ht="34.5" customHeight="1">
      <c r="B23" s="2">
        <v>22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ht="34.5" customHeight="1">
      <c r="B24" s="2">
        <v>21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ht="34.5" customHeight="1">
      <c r="B25" s="2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ht="34.5" customHeight="1">
      <c r="B26" s="2">
        <v>19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ht="34.5" customHeight="1">
      <c r="B27" s="2">
        <v>18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ht="34.5" customHeight="1">
      <c r="B28" s="2">
        <v>17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ht="34.5" customHeight="1">
      <c r="B29" s="2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ht="34.5" customHeight="1">
      <c r="B30" s="2">
        <v>15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3:42" ht="34.5" customHeight="1">
      <c r="C31" s="50">
        <v>2</v>
      </c>
      <c r="D31" s="50">
        <v>3</v>
      </c>
      <c r="E31" s="50">
        <v>4</v>
      </c>
      <c r="F31" s="50">
        <v>5</v>
      </c>
      <c r="G31" s="50">
        <v>6</v>
      </c>
      <c r="H31" s="50">
        <v>7</v>
      </c>
      <c r="I31" s="50">
        <v>8</v>
      </c>
      <c r="J31" s="50">
        <v>9</v>
      </c>
      <c r="K31" s="50">
        <v>10</v>
      </c>
      <c r="L31" s="50">
        <v>11</v>
      </c>
      <c r="M31" s="50">
        <v>12</v>
      </c>
      <c r="N31" s="50">
        <v>13</v>
      </c>
      <c r="O31" s="50">
        <v>14</v>
      </c>
      <c r="P31" s="50">
        <v>15</v>
      </c>
      <c r="Q31" s="50">
        <v>16</v>
      </c>
      <c r="R31" s="50">
        <v>17</v>
      </c>
      <c r="S31" s="50">
        <v>18</v>
      </c>
      <c r="T31" s="50">
        <v>19</v>
      </c>
      <c r="U31" s="50">
        <v>20</v>
      </c>
      <c r="V31" s="50">
        <v>21</v>
      </c>
      <c r="W31" s="50">
        <v>22</v>
      </c>
      <c r="X31" s="50">
        <v>23</v>
      </c>
      <c r="Y31" s="50">
        <v>24</v>
      </c>
      <c r="Z31" s="50">
        <v>25</v>
      </c>
      <c r="AA31" s="50">
        <v>26</v>
      </c>
      <c r="AB31" s="50">
        <v>27</v>
      </c>
      <c r="AC31" s="50">
        <v>28</v>
      </c>
      <c r="AD31" s="50">
        <v>29</v>
      </c>
      <c r="AE31" s="50">
        <v>30</v>
      </c>
      <c r="AF31" s="50">
        <v>31</v>
      </c>
      <c r="AG31" s="50">
        <v>32</v>
      </c>
      <c r="AH31" s="50">
        <v>33</v>
      </c>
      <c r="AI31" s="50">
        <v>34</v>
      </c>
      <c r="AJ31" s="50">
        <v>35</v>
      </c>
      <c r="AK31" s="50">
        <v>36</v>
      </c>
      <c r="AL31" s="50">
        <v>37</v>
      </c>
      <c r="AM31" s="50">
        <v>38</v>
      </c>
      <c r="AN31" s="50">
        <v>39</v>
      </c>
      <c r="AO31" s="50">
        <v>40</v>
      </c>
      <c r="AP31" s="51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51"/>
  <sheetViews>
    <sheetView workbookViewId="0" topLeftCell="A1">
      <selection activeCell="A1" sqref="A1"/>
    </sheetView>
  </sheetViews>
  <sheetFormatPr defaultColWidth="11.00390625" defaultRowHeight="12.75"/>
  <cols>
    <col min="2" max="2" width="6.625" style="0" customWidth="1"/>
    <col min="3" max="3" width="12.75390625" style="0" bestFit="1" customWidth="1"/>
    <col min="4" max="13" width="6.75390625" style="0" customWidth="1"/>
    <col min="14" max="14" width="12.375" style="0" bestFit="1" customWidth="1"/>
    <col min="15" max="24" width="5.75390625" style="0" customWidth="1"/>
  </cols>
  <sheetData>
    <row r="1" ht="18">
      <c r="A1" s="1" t="s">
        <v>0</v>
      </c>
    </row>
    <row r="3" spans="2:16" ht="12.75">
      <c r="B3" s="15" t="s">
        <v>42</v>
      </c>
      <c r="C3" s="9" t="s">
        <v>1</v>
      </c>
      <c r="F3" s="2" t="s">
        <v>2</v>
      </c>
      <c r="G3" s="2"/>
      <c r="H3" s="2" t="s">
        <v>3</v>
      </c>
      <c r="N3" s="9" t="s">
        <v>48</v>
      </c>
      <c r="O3">
        <v>1814</v>
      </c>
      <c r="P3" t="s">
        <v>56</v>
      </c>
    </row>
    <row r="4" spans="3:16" ht="12.75">
      <c r="C4" s="4" t="s">
        <v>8</v>
      </c>
      <c r="D4" s="6" t="s">
        <v>61</v>
      </c>
      <c r="E4" s="4" t="s">
        <v>4</v>
      </c>
      <c r="F4" s="3" t="s">
        <v>6</v>
      </c>
      <c r="G4" s="4" t="s">
        <v>7</v>
      </c>
      <c r="H4" s="5" t="b">
        <f>Route2_OpFeasValue=0</f>
        <v>1</v>
      </c>
      <c r="N4" s="9" t="s">
        <v>49</v>
      </c>
      <c r="O4">
        <v>3</v>
      </c>
      <c r="P4" t="s">
        <v>50</v>
      </c>
    </row>
    <row r="5" spans="2:19" ht="12.75">
      <c r="B5" s="15" t="s">
        <v>43</v>
      </c>
      <c r="C5" s="4" t="s">
        <v>10</v>
      </c>
      <c r="D5" s="6" t="s">
        <v>44</v>
      </c>
      <c r="E5" s="4" t="s">
        <v>5</v>
      </c>
      <c r="F5" s="5">
        <f>SUM(Route2_TravelCost)+SUM(Route2_DurCost)+SUM(Route2_EarlyCost)+SUM(Route2_LateCost)</f>
        <v>1814</v>
      </c>
      <c r="G5" s="4" t="s">
        <v>5</v>
      </c>
      <c r="H5" s="5">
        <f>COUNTIF(Route2_OpValue,"=0")</f>
        <v>0</v>
      </c>
      <c r="N5" s="9" t="s">
        <v>51</v>
      </c>
      <c r="O5">
        <v>721</v>
      </c>
      <c r="P5" s="4" t="s">
        <v>52</v>
      </c>
      <c r="Q5">
        <v>721</v>
      </c>
      <c r="R5" s="4" t="s">
        <v>53</v>
      </c>
      <c r="S5">
        <v>0</v>
      </c>
    </row>
    <row r="6" spans="3:15" ht="12.75">
      <c r="C6" s="4" t="s">
        <v>11</v>
      </c>
      <c r="D6" s="6" t="s">
        <v>12</v>
      </c>
      <c r="E6" t="s">
        <v>13</v>
      </c>
      <c r="F6" s="3" t="s">
        <v>14</v>
      </c>
      <c r="N6" s="9" t="s">
        <v>54</v>
      </c>
      <c r="O6" s="16">
        <v>1</v>
      </c>
    </row>
    <row r="7" spans="2:15" ht="12.75">
      <c r="B7" s="15" t="s">
        <v>73</v>
      </c>
      <c r="C7" s="4" t="s">
        <v>19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N7" s="9" t="s">
        <v>55</v>
      </c>
      <c r="O7">
        <v>10</v>
      </c>
    </row>
    <row r="8" spans="3:11" ht="12.75">
      <c r="C8" s="4" t="s">
        <v>20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  <c r="K8" s="2" t="s">
        <v>22</v>
      </c>
    </row>
    <row r="9" spans="3:15" ht="12.75">
      <c r="C9" s="4" t="s">
        <v>21</v>
      </c>
      <c r="D9" s="7">
        <v>3</v>
      </c>
      <c r="E9" s="7">
        <v>5</v>
      </c>
      <c r="F9" s="7">
        <v>4</v>
      </c>
      <c r="G9" s="7">
        <v>2</v>
      </c>
      <c r="H9" s="7">
        <v>6</v>
      </c>
      <c r="I9" s="7">
        <v>7</v>
      </c>
      <c r="J9" s="7">
        <v>8</v>
      </c>
      <c r="K9" s="7">
        <v>1</v>
      </c>
      <c r="O9" s="14" t="s">
        <v>45</v>
      </c>
    </row>
    <row r="10" spans="3:24" ht="12.75">
      <c r="C10" s="4" t="s">
        <v>15</v>
      </c>
      <c r="D10" s="8">
        <v>1</v>
      </c>
      <c r="E10" s="8">
        <f aca="true" t="shared" si="0" ref="E10:K10">INDEX(Route2_OpValue,1,D10)</f>
        <v>3</v>
      </c>
      <c r="F10" s="8">
        <f t="shared" si="0"/>
        <v>4</v>
      </c>
      <c r="G10" s="8">
        <f t="shared" si="0"/>
        <v>2</v>
      </c>
      <c r="H10" s="8">
        <f t="shared" si="0"/>
        <v>5</v>
      </c>
      <c r="I10" s="8">
        <f t="shared" si="0"/>
        <v>6</v>
      </c>
      <c r="J10" s="8">
        <f t="shared" si="0"/>
        <v>7</v>
      </c>
      <c r="K10" s="8">
        <f t="shared" si="0"/>
        <v>8</v>
      </c>
      <c r="O10" s="2" t="s">
        <v>46</v>
      </c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22</v>
      </c>
      <c r="X10" s="2" t="s">
        <v>47</v>
      </c>
    </row>
    <row r="11" spans="15:24" ht="12.75">
      <c r="O11" s="17">
        <v>721</v>
      </c>
      <c r="P11" s="17">
        <v>3</v>
      </c>
      <c r="Q11" s="17">
        <v>5</v>
      </c>
      <c r="R11" s="17">
        <v>4</v>
      </c>
      <c r="S11" s="17">
        <v>2</v>
      </c>
      <c r="T11" s="17">
        <v>6</v>
      </c>
      <c r="U11" s="17">
        <v>7</v>
      </c>
      <c r="V11" s="17">
        <v>8</v>
      </c>
      <c r="W11" s="17">
        <v>1</v>
      </c>
      <c r="X11" s="17">
        <v>1814</v>
      </c>
    </row>
    <row r="12" spans="3:24" ht="12.75">
      <c r="C12" s="4" t="s">
        <v>30</v>
      </c>
      <c r="D12" s="8">
        <f aca="true" t="shared" si="1" ref="D12:K12">INDEX(Route2_OpObjMatrix,Route2_OpValue+1,)</f>
        <v>5</v>
      </c>
      <c r="E12" s="8">
        <f t="shared" si="1"/>
        <v>25</v>
      </c>
      <c r="F12" s="8">
        <f t="shared" si="1"/>
        <v>10</v>
      </c>
      <c r="G12" s="8">
        <f t="shared" si="1"/>
        <v>25</v>
      </c>
      <c r="H12" s="8">
        <f t="shared" si="1"/>
        <v>16</v>
      </c>
      <c r="I12" s="8">
        <f t="shared" si="1"/>
        <v>3</v>
      </c>
      <c r="J12" s="8">
        <f t="shared" si="1"/>
        <v>16</v>
      </c>
      <c r="K12" s="8">
        <f t="shared" si="1"/>
        <v>0</v>
      </c>
      <c r="O12" s="17">
        <v>145</v>
      </c>
      <c r="P12" s="17">
        <v>3</v>
      </c>
      <c r="Q12" s="17">
        <v>5</v>
      </c>
      <c r="R12" s="17">
        <v>4</v>
      </c>
      <c r="S12" s="17">
        <v>2</v>
      </c>
      <c r="T12" s="17">
        <v>6</v>
      </c>
      <c r="U12" s="17">
        <v>7</v>
      </c>
      <c r="V12" s="17">
        <v>8</v>
      </c>
      <c r="W12" s="17">
        <v>1</v>
      </c>
      <c r="X12" s="17">
        <v>1814</v>
      </c>
    </row>
    <row r="13" spans="3:24" ht="12.75">
      <c r="C13" s="4"/>
      <c r="O13" s="17">
        <v>146</v>
      </c>
      <c r="P13" s="17">
        <v>3</v>
      </c>
      <c r="Q13" s="17">
        <v>5</v>
      </c>
      <c r="R13" s="17">
        <v>4</v>
      </c>
      <c r="S13" s="17">
        <v>2</v>
      </c>
      <c r="T13" s="17">
        <v>7</v>
      </c>
      <c r="U13" s="17">
        <v>8</v>
      </c>
      <c r="V13" s="17">
        <v>6</v>
      </c>
      <c r="W13" s="17">
        <v>1</v>
      </c>
      <c r="X13" s="17">
        <v>1834</v>
      </c>
    </row>
    <row r="14" spans="3:24" ht="12.75">
      <c r="C14" s="4" t="s">
        <v>29</v>
      </c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O14" s="17">
        <v>150</v>
      </c>
      <c r="P14" s="17">
        <v>3</v>
      </c>
      <c r="Q14" s="17">
        <v>7</v>
      </c>
      <c r="R14" s="17">
        <v>4</v>
      </c>
      <c r="S14" s="17">
        <v>2</v>
      </c>
      <c r="T14" s="17">
        <v>8</v>
      </c>
      <c r="U14" s="17">
        <v>5</v>
      </c>
      <c r="V14" s="17">
        <v>6</v>
      </c>
      <c r="W14" s="17">
        <v>1</v>
      </c>
      <c r="X14" s="17">
        <v>2440</v>
      </c>
    </row>
    <row r="15" spans="3:24" ht="13.5" thickBot="1">
      <c r="C15" s="4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 t="s">
        <v>16</v>
      </c>
      <c r="M15" s="11" t="s">
        <v>17</v>
      </c>
      <c r="O15" s="17">
        <v>147</v>
      </c>
      <c r="P15" s="17">
        <v>3</v>
      </c>
      <c r="Q15" s="17">
        <v>6</v>
      </c>
      <c r="R15" s="17">
        <v>4</v>
      </c>
      <c r="S15" s="17">
        <v>2</v>
      </c>
      <c r="T15" s="17">
        <v>7</v>
      </c>
      <c r="U15" s="17">
        <v>5</v>
      </c>
      <c r="V15" s="17">
        <v>8</v>
      </c>
      <c r="W15" s="17">
        <v>1</v>
      </c>
      <c r="X15" s="17">
        <v>2464</v>
      </c>
    </row>
    <row r="16" spans="3:24" ht="15" thickBot="1" thickTop="1">
      <c r="C16" s="4">
        <v>1</v>
      </c>
      <c r="D16" s="10" t="s">
        <v>18</v>
      </c>
      <c r="E16" s="10" t="s">
        <v>18</v>
      </c>
      <c r="F16" s="10" t="s">
        <v>18</v>
      </c>
      <c r="G16" s="10" t="s">
        <v>18</v>
      </c>
      <c r="H16" s="10" t="s">
        <v>18</v>
      </c>
      <c r="I16" s="10" t="s">
        <v>18</v>
      </c>
      <c r="J16" s="10" t="s">
        <v>18</v>
      </c>
      <c r="K16" s="18">
        <v>0</v>
      </c>
      <c r="L16" s="12">
        <v>5.674233436584473</v>
      </c>
      <c r="M16" s="12">
        <v>30.911113739013672</v>
      </c>
      <c r="O16" s="17">
        <v>149</v>
      </c>
      <c r="P16" s="17">
        <v>3</v>
      </c>
      <c r="Q16" s="17">
        <v>7</v>
      </c>
      <c r="R16" s="17">
        <v>4</v>
      </c>
      <c r="S16" s="17">
        <v>2</v>
      </c>
      <c r="T16" s="17">
        <v>6</v>
      </c>
      <c r="U16" s="17">
        <v>8</v>
      </c>
      <c r="V16" s="17">
        <v>5</v>
      </c>
      <c r="W16" s="17">
        <v>1</v>
      </c>
      <c r="X16" s="17">
        <v>2567</v>
      </c>
    </row>
    <row r="17" spans="3:24" ht="15" thickBot="1" thickTop="1">
      <c r="C17" s="4">
        <v>2</v>
      </c>
      <c r="D17" s="10">
        <f>INT(SQRT((INDEX(Route2_x,2)-INDEX(Route2_x,1))^2+(INDEX(Route2_y,2)-INDEX(Route2_y,1))^2))</f>
        <v>25</v>
      </c>
      <c r="E17" s="10" t="s">
        <v>18</v>
      </c>
      <c r="F17" s="10">
        <f>INT(SQRT((INDEX(Route2_x,2)-INDEX(Route2_x,3))^2+(INDEX(Route2_y,2)-INDEX(Route2_y,3))^2))</f>
        <v>26</v>
      </c>
      <c r="G17" s="18">
        <f>INT(SQRT((INDEX(Route2_x,2)-INDEX(Route2_x,4))^2+(INDEX(Route2_y,2)-INDEX(Route2_y,4))^2))</f>
        <v>25</v>
      </c>
      <c r="H17" s="10">
        <f>INT(SQRT((INDEX(Route2_x,2)-INDEX(Route2_x,5))^2+(INDEX(Route2_y,2)-INDEX(Route2_y,5))^2))</f>
        <v>25</v>
      </c>
      <c r="I17" s="10">
        <f>INT(SQRT((INDEX(Route2_x,2)-INDEX(Route2_x,6))^2+(INDEX(Route2_y,2)-INDEX(Route2_y,6))^2))</f>
        <v>24</v>
      </c>
      <c r="J17" s="10">
        <f>INT(SQRT((INDEX(Route2_x,2)-INDEX(Route2_x,7))^2+(INDEX(Route2_y,2)-INDEX(Route2_y,7))^2))</f>
        <v>22</v>
      </c>
      <c r="K17" s="10" t="s">
        <v>18</v>
      </c>
      <c r="L17" s="12">
        <v>26.164827346801758</v>
      </c>
      <c r="M17" s="12">
        <v>15.010622024536133</v>
      </c>
      <c r="O17" s="17">
        <v>126</v>
      </c>
      <c r="P17" s="17">
        <v>3</v>
      </c>
      <c r="Q17" s="17">
        <v>4</v>
      </c>
      <c r="R17" s="17">
        <v>2</v>
      </c>
      <c r="S17" s="17">
        <v>7</v>
      </c>
      <c r="T17" s="17">
        <v>8</v>
      </c>
      <c r="U17" s="17">
        <v>5</v>
      </c>
      <c r="V17" s="17">
        <v>6</v>
      </c>
      <c r="W17" s="17">
        <v>1</v>
      </c>
      <c r="X17" s="17">
        <v>2870</v>
      </c>
    </row>
    <row r="18" spans="3:24" ht="15" thickBot="1" thickTop="1">
      <c r="C18" s="4">
        <v>3</v>
      </c>
      <c r="D18" s="18">
        <f>INT(SQRT((INDEX(Route2_x,3)-INDEX(Route2_x,1))^2+(INDEX(Route2_y,3)-INDEX(Route2_y,1))^2))</f>
        <v>5</v>
      </c>
      <c r="E18" s="10">
        <f>INT(SQRT((INDEX(Route2_x,3)-INDEX(Route2_x,2))^2+(INDEX(Route2_y,3)-INDEX(Route2_y,2))^2))</f>
        <v>26</v>
      </c>
      <c r="F18" s="10" t="s">
        <v>18</v>
      </c>
      <c r="G18" s="10">
        <f>INT(SQRT((INDEX(Route2_x,3)-INDEX(Route2_x,4))^2+(INDEX(Route2_y,3)-INDEX(Route2_y,4))^2))</f>
        <v>10</v>
      </c>
      <c r="H18" s="10">
        <f>INT(SQRT((INDEX(Route2_x,3)-INDEX(Route2_x,5))^2+(INDEX(Route2_y,3)-INDEX(Route2_y,5))^2))</f>
        <v>38</v>
      </c>
      <c r="I18" s="10">
        <f>INT(SQRT((INDEX(Route2_x,3)-INDEX(Route2_x,6))^2+(INDEX(Route2_y,3)-INDEX(Route2_y,6))^2))</f>
        <v>24</v>
      </c>
      <c r="J18" s="10">
        <f>INT(SQRT((INDEX(Route2_x,3)-INDEX(Route2_x,7))^2+(INDEX(Route2_y,3)-INDEX(Route2_y,7))^2))</f>
        <v>20</v>
      </c>
      <c r="K18" s="10" t="s">
        <v>18</v>
      </c>
      <c r="L18" s="12">
        <v>2.152438163757324</v>
      </c>
      <c r="M18" s="12">
        <v>27.189390182495117</v>
      </c>
      <c r="O18" s="17">
        <v>148</v>
      </c>
      <c r="P18" s="17">
        <v>3</v>
      </c>
      <c r="Q18" s="17">
        <v>6</v>
      </c>
      <c r="R18" s="17">
        <v>4</v>
      </c>
      <c r="S18" s="17">
        <v>2</v>
      </c>
      <c r="T18" s="17">
        <v>8</v>
      </c>
      <c r="U18" s="17">
        <v>7</v>
      </c>
      <c r="V18" s="17">
        <v>5</v>
      </c>
      <c r="W18" s="17">
        <v>1</v>
      </c>
      <c r="X18" s="17">
        <v>2957</v>
      </c>
    </row>
    <row r="19" spans="3:24" ht="15" thickBot="1" thickTop="1">
      <c r="C19" s="4">
        <v>4</v>
      </c>
      <c r="D19" s="10">
        <f>INT(SQRT((INDEX(Route2_x,4)-INDEX(Route2_x,1))^2+(INDEX(Route2_y,4)-INDEX(Route2_y,1))^2))</f>
        <v>5</v>
      </c>
      <c r="E19" s="10">
        <f>INT(SQRT((INDEX(Route2_x,4)-INDEX(Route2_x,2))^2+(INDEX(Route2_y,4)-INDEX(Route2_y,2))^2))</f>
        <v>25</v>
      </c>
      <c r="F19" s="18">
        <f>INT(SQRT((INDEX(Route2_x,4)-INDEX(Route2_x,3))^2+(INDEX(Route2_y,4)-INDEX(Route2_y,3))^2))</f>
        <v>10</v>
      </c>
      <c r="G19" s="10" t="s">
        <v>18</v>
      </c>
      <c r="H19" s="10">
        <f>INT(SQRT((INDEX(Route2_x,4)-INDEX(Route2_x,5))^2+(INDEX(Route2_y,4)-INDEX(Route2_y,5))^2))</f>
        <v>29</v>
      </c>
      <c r="I19" s="10">
        <f>INT(SQRT((INDEX(Route2_x,4)-INDEX(Route2_x,6))^2+(INDEX(Route2_y,4)-INDEX(Route2_y,6))^2))</f>
        <v>14</v>
      </c>
      <c r="J19" s="10">
        <f>INT(SQRT((INDEX(Route2_x,4)-INDEX(Route2_x,7))^2+(INDEX(Route2_y,4)-INDEX(Route2_y,7))^2))</f>
        <v>10</v>
      </c>
      <c r="K19" s="10" t="s">
        <v>18</v>
      </c>
      <c r="L19" s="12">
        <v>10.191326141357422</v>
      </c>
      <c r="M19" s="12">
        <v>34.34714126586914</v>
      </c>
      <c r="O19" s="17">
        <v>125</v>
      </c>
      <c r="P19" s="17">
        <v>3</v>
      </c>
      <c r="Q19" s="17">
        <v>4</v>
      </c>
      <c r="R19" s="17">
        <v>2</v>
      </c>
      <c r="S19" s="17">
        <v>7</v>
      </c>
      <c r="T19" s="17">
        <v>6</v>
      </c>
      <c r="U19" s="17">
        <v>8</v>
      </c>
      <c r="V19" s="17">
        <v>5</v>
      </c>
      <c r="W19" s="17">
        <v>1</v>
      </c>
      <c r="X19" s="17">
        <v>2997</v>
      </c>
    </row>
    <row r="20" spans="3:24" ht="15" thickBot="1" thickTop="1">
      <c r="C20" s="4">
        <v>5</v>
      </c>
      <c r="D20" s="10">
        <f>INT(SQRT((INDEX(Route2_x,5)-INDEX(Route2_x,1))^2+(INDEX(Route2_y,5)-INDEX(Route2_y,1))^2))</f>
        <v>34</v>
      </c>
      <c r="E20" s="18">
        <f>INT(SQRT((INDEX(Route2_x,5)-INDEX(Route2_x,2))^2+(INDEX(Route2_y,5)-INDEX(Route2_y,2))^2))</f>
        <v>25</v>
      </c>
      <c r="F20" s="10">
        <f>INT(SQRT((INDEX(Route2_x,5)-INDEX(Route2_x,3))^2+(INDEX(Route2_y,5)-INDEX(Route2_y,3))^2))</f>
        <v>38</v>
      </c>
      <c r="G20" s="10">
        <f>INT(SQRT((INDEX(Route2_x,5)-INDEX(Route2_x,4))^2+(INDEX(Route2_y,5)-INDEX(Route2_y,4))^2))</f>
        <v>29</v>
      </c>
      <c r="H20" s="10" t="s">
        <v>18</v>
      </c>
      <c r="I20" s="10">
        <f>INT(SQRT((INDEX(Route2_x,5)-INDEX(Route2_x,6))^2+(INDEX(Route2_y,5)-INDEX(Route2_y,6))^2))</f>
        <v>16</v>
      </c>
      <c r="J20" s="10">
        <f>INT(SQRT((INDEX(Route2_x,5)-INDEX(Route2_x,7))^2+(INDEX(Route2_y,5)-INDEX(Route2_y,7))^2))</f>
        <v>19</v>
      </c>
      <c r="K20" s="10" t="s">
        <v>18</v>
      </c>
      <c r="L20" s="12">
        <v>39.894832611083984</v>
      </c>
      <c r="M20" s="12">
        <v>36.70634460449219</v>
      </c>
      <c r="O20" s="17">
        <v>121</v>
      </c>
      <c r="P20" s="17">
        <v>3</v>
      </c>
      <c r="Q20" s="17">
        <v>4</v>
      </c>
      <c r="R20" s="17">
        <v>2</v>
      </c>
      <c r="S20" s="17">
        <v>5</v>
      </c>
      <c r="T20" s="17">
        <v>6</v>
      </c>
      <c r="U20" s="17">
        <v>7</v>
      </c>
      <c r="V20" s="17">
        <v>8</v>
      </c>
      <c r="W20" s="17">
        <v>1</v>
      </c>
      <c r="X20" s="17">
        <v>3024</v>
      </c>
    </row>
    <row r="21" spans="3:24" ht="15" thickBot="1" thickTop="1">
      <c r="C21" s="4">
        <v>6</v>
      </c>
      <c r="D21" s="10">
        <f>INT(SQRT((INDEX(Route2_x,6)-INDEX(Route2_x,1))^2+(INDEX(Route2_y,6)-INDEX(Route2_y,1))^2))</f>
        <v>19</v>
      </c>
      <c r="E21" s="10">
        <f>INT(SQRT((INDEX(Route2_x,6)-INDEX(Route2_x,2))^2+(INDEX(Route2_y,6)-INDEX(Route2_y,2))^2))</f>
        <v>24</v>
      </c>
      <c r="F21" s="10">
        <f>INT(SQRT((INDEX(Route2_x,6)-INDEX(Route2_x,3))^2+(INDEX(Route2_y,6)-INDEX(Route2_y,3))^2))</f>
        <v>24</v>
      </c>
      <c r="G21" s="10">
        <f>INT(SQRT((INDEX(Route2_x,6)-INDEX(Route2_x,4))^2+(INDEX(Route2_y,6)-INDEX(Route2_y,4))^2))</f>
        <v>14</v>
      </c>
      <c r="H21" s="18">
        <f>INT(SQRT((INDEX(Route2_x,6)-INDEX(Route2_x,5))^2+(INDEX(Route2_y,6)-INDEX(Route2_y,5))^2))</f>
        <v>16</v>
      </c>
      <c r="I21" s="10" t="s">
        <v>18</v>
      </c>
      <c r="J21" s="10">
        <f>INT(SQRT((INDEX(Route2_x,6)-INDEX(Route2_x,7))^2+(INDEX(Route2_y,6)-INDEX(Route2_y,7))^2))</f>
        <v>3</v>
      </c>
      <c r="K21" s="10" t="s">
        <v>18</v>
      </c>
      <c r="L21" s="12">
        <v>23.40804100036621</v>
      </c>
      <c r="M21" s="12">
        <v>39.39426040649414</v>
      </c>
      <c r="O21" s="17">
        <v>123</v>
      </c>
      <c r="P21" s="17">
        <v>3</v>
      </c>
      <c r="Q21" s="17">
        <v>4</v>
      </c>
      <c r="R21" s="17">
        <v>2</v>
      </c>
      <c r="S21" s="17">
        <v>6</v>
      </c>
      <c r="T21" s="17">
        <v>7</v>
      </c>
      <c r="U21" s="17">
        <v>5</v>
      </c>
      <c r="V21" s="17">
        <v>8</v>
      </c>
      <c r="W21" s="17">
        <v>1</v>
      </c>
      <c r="X21" s="17">
        <v>3104</v>
      </c>
    </row>
    <row r="22" spans="3:24" ht="15" thickBot="1" thickTop="1">
      <c r="C22" s="4">
        <v>7</v>
      </c>
      <c r="D22" s="10">
        <f>INT(SQRT((INDEX(Route2_x,7)-INDEX(Route2_x,1))^2+(INDEX(Route2_y,7)-INDEX(Route2_y,1))^2))</f>
        <v>16</v>
      </c>
      <c r="E22" s="10">
        <f>INT(SQRT((INDEX(Route2_x,7)-INDEX(Route2_x,2))^2+(INDEX(Route2_y,7)-INDEX(Route2_y,2))^2))</f>
        <v>22</v>
      </c>
      <c r="F22" s="10">
        <f>INT(SQRT((INDEX(Route2_x,7)-INDEX(Route2_x,3))^2+(INDEX(Route2_y,7)-INDEX(Route2_y,3))^2))</f>
        <v>20</v>
      </c>
      <c r="G22" s="10">
        <f>INT(SQRT((INDEX(Route2_x,7)-INDEX(Route2_x,4))^2+(INDEX(Route2_y,7)-INDEX(Route2_y,4))^2))</f>
        <v>10</v>
      </c>
      <c r="H22" s="10">
        <f>INT(SQRT((INDEX(Route2_x,7)-INDEX(Route2_x,5))^2+(INDEX(Route2_y,7)-INDEX(Route2_y,5))^2))</f>
        <v>19</v>
      </c>
      <c r="I22" s="18">
        <f>INT(SQRT((INDEX(Route2_x,7)-INDEX(Route2_x,6))^2+(INDEX(Route2_y,7)-INDEX(Route2_y,6))^2))</f>
        <v>3</v>
      </c>
      <c r="J22" s="10" t="s">
        <v>18</v>
      </c>
      <c r="K22" s="10" t="s">
        <v>18</v>
      </c>
      <c r="L22" s="12">
        <v>20.66167449951172</v>
      </c>
      <c r="M22" s="12">
        <v>36.681217193603516</v>
      </c>
      <c r="O22" s="17">
        <v>6</v>
      </c>
      <c r="P22" s="17">
        <v>2</v>
      </c>
      <c r="Q22" s="17">
        <v>3</v>
      </c>
      <c r="R22" s="17">
        <v>4</v>
      </c>
      <c r="S22" s="17">
        <v>7</v>
      </c>
      <c r="T22" s="17">
        <v>8</v>
      </c>
      <c r="U22" s="17">
        <v>5</v>
      </c>
      <c r="V22" s="17">
        <v>6</v>
      </c>
      <c r="W22" s="17">
        <v>1</v>
      </c>
      <c r="X22" s="17">
        <v>3228</v>
      </c>
    </row>
    <row r="23" spans="3:24" ht="15" thickBot="1" thickTop="1">
      <c r="C23" s="4">
        <v>8</v>
      </c>
      <c r="D23" s="10" t="s">
        <v>18</v>
      </c>
      <c r="E23" s="10">
        <f>INT(SQRT((INDEX(Route2_x,8)-INDEX(Route2_x,2))^2+(INDEX(Route2_y,8)-INDEX(Route2_y,2))^2))</f>
        <v>25</v>
      </c>
      <c r="F23" s="10">
        <f>INT(SQRT((INDEX(Route2_x,8)-INDEX(Route2_x,3))^2+(INDEX(Route2_y,8)-INDEX(Route2_y,3))^2))</f>
        <v>5</v>
      </c>
      <c r="G23" s="10">
        <f>INT(SQRT((INDEX(Route2_x,8)-INDEX(Route2_x,4))^2+(INDEX(Route2_y,8)-INDEX(Route2_y,4))^2))</f>
        <v>5</v>
      </c>
      <c r="H23" s="10">
        <f>INT(SQRT((INDEX(Route2_x,8)-INDEX(Route2_x,5))^2+(INDEX(Route2_y,8)-INDEX(Route2_y,5))^2))</f>
        <v>34</v>
      </c>
      <c r="I23" s="10">
        <f>INT(SQRT((INDEX(Route2_x,8)-INDEX(Route2_x,6))^2+(INDEX(Route2_y,8)-INDEX(Route2_y,6))^2))</f>
        <v>19</v>
      </c>
      <c r="J23" s="18">
        <f>INT(SQRT((INDEX(Route2_x,8)-INDEX(Route2_x,7))^2+(INDEX(Route2_y,8)-INDEX(Route2_y,7))^2))</f>
        <v>16</v>
      </c>
      <c r="K23" s="10" t="s">
        <v>18</v>
      </c>
      <c r="L23" s="12">
        <v>5.674233436584473</v>
      </c>
      <c r="M23" s="12">
        <v>30.911113739013672</v>
      </c>
      <c r="O23" s="17">
        <v>5</v>
      </c>
      <c r="P23" s="17">
        <v>2</v>
      </c>
      <c r="Q23" s="17">
        <v>3</v>
      </c>
      <c r="R23" s="17">
        <v>4</v>
      </c>
      <c r="S23" s="17">
        <v>7</v>
      </c>
      <c r="T23" s="17">
        <v>6</v>
      </c>
      <c r="U23" s="17">
        <v>8</v>
      </c>
      <c r="V23" s="17">
        <v>5</v>
      </c>
      <c r="W23" s="17">
        <v>1</v>
      </c>
      <c r="X23" s="17">
        <v>3355</v>
      </c>
    </row>
    <row r="24" spans="15:24" ht="13.5" thickTop="1">
      <c r="O24" s="17">
        <v>1</v>
      </c>
      <c r="P24" s="17">
        <v>2</v>
      </c>
      <c r="Q24" s="17">
        <v>3</v>
      </c>
      <c r="R24" s="17">
        <v>4</v>
      </c>
      <c r="S24" s="17">
        <v>5</v>
      </c>
      <c r="T24" s="17">
        <v>6</v>
      </c>
      <c r="U24" s="17">
        <v>7</v>
      </c>
      <c r="V24" s="17">
        <v>8</v>
      </c>
      <c r="W24" s="17">
        <v>1</v>
      </c>
      <c r="X24" s="17">
        <v>3382</v>
      </c>
    </row>
    <row r="25" spans="4:24" ht="12.75">
      <c r="D25" s="13" t="str">
        <f aca="true" t="shared" si="2" ref="D25:K25">Route2_OpVarName</f>
        <v>Depot</v>
      </c>
      <c r="E25" s="13" t="str">
        <f t="shared" si="2"/>
        <v>S1</v>
      </c>
      <c r="F25" s="13" t="str">
        <f t="shared" si="2"/>
        <v>S2</v>
      </c>
      <c r="G25" s="13" t="str">
        <f t="shared" si="2"/>
        <v>S3</v>
      </c>
      <c r="H25" s="13" t="str">
        <f t="shared" si="2"/>
        <v>S4</v>
      </c>
      <c r="I25" s="13" t="str">
        <f t="shared" si="2"/>
        <v>S5</v>
      </c>
      <c r="J25" s="13" t="str">
        <f t="shared" si="2"/>
        <v>S6</v>
      </c>
      <c r="K25" s="13" t="str">
        <f t="shared" si="2"/>
        <v>Depot</v>
      </c>
      <c r="O25" s="17">
        <v>3</v>
      </c>
      <c r="P25" s="17">
        <v>2</v>
      </c>
      <c r="Q25" s="17">
        <v>3</v>
      </c>
      <c r="R25" s="17">
        <v>4</v>
      </c>
      <c r="S25" s="17">
        <v>6</v>
      </c>
      <c r="T25" s="17">
        <v>7</v>
      </c>
      <c r="U25" s="17">
        <v>5</v>
      </c>
      <c r="V25" s="17">
        <v>8</v>
      </c>
      <c r="W25" s="17">
        <v>1</v>
      </c>
      <c r="X25" s="17">
        <v>3462</v>
      </c>
    </row>
    <row r="26" spans="3:24" ht="12.75">
      <c r="C26" s="4" t="s">
        <v>31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O26" s="17">
        <v>124</v>
      </c>
      <c r="P26" s="17">
        <v>3</v>
      </c>
      <c r="Q26" s="17">
        <v>4</v>
      </c>
      <c r="R26" s="17">
        <v>2</v>
      </c>
      <c r="S26" s="17">
        <v>6</v>
      </c>
      <c r="T26" s="17">
        <v>8</v>
      </c>
      <c r="U26" s="17">
        <v>7</v>
      </c>
      <c r="V26" s="17">
        <v>5</v>
      </c>
      <c r="W26" s="17">
        <v>1</v>
      </c>
      <c r="X26" s="17">
        <v>3597</v>
      </c>
    </row>
    <row r="27" spans="3:24" ht="12.75">
      <c r="C27" s="4" t="s">
        <v>32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O27" s="17">
        <v>122</v>
      </c>
      <c r="P27" s="17">
        <v>3</v>
      </c>
      <c r="Q27" s="17">
        <v>4</v>
      </c>
      <c r="R27" s="17">
        <v>2</v>
      </c>
      <c r="S27" s="17">
        <v>5</v>
      </c>
      <c r="T27" s="17">
        <v>7</v>
      </c>
      <c r="U27" s="17">
        <v>8</v>
      </c>
      <c r="V27" s="17">
        <v>6</v>
      </c>
      <c r="W27" s="17">
        <v>1</v>
      </c>
      <c r="X27" s="17">
        <v>3644</v>
      </c>
    </row>
    <row r="28" spans="3:24" ht="12.75">
      <c r="C28" s="4" t="s">
        <v>33</v>
      </c>
      <c r="D28" s="10">
        <v>1</v>
      </c>
      <c r="E28" s="10">
        <v>26</v>
      </c>
      <c r="F28" s="10">
        <v>30</v>
      </c>
      <c r="G28" s="10">
        <v>18</v>
      </c>
      <c r="H28" s="10">
        <v>10</v>
      </c>
      <c r="I28" s="10">
        <v>17</v>
      </c>
      <c r="J28" s="10">
        <v>19</v>
      </c>
      <c r="K28" s="10">
        <v>1</v>
      </c>
      <c r="O28" s="17">
        <v>129</v>
      </c>
      <c r="P28" s="17">
        <v>3</v>
      </c>
      <c r="Q28" s="17">
        <v>5</v>
      </c>
      <c r="R28" s="17">
        <v>2</v>
      </c>
      <c r="S28" s="17">
        <v>7</v>
      </c>
      <c r="T28" s="17">
        <v>6</v>
      </c>
      <c r="U28" s="17">
        <v>4</v>
      </c>
      <c r="V28" s="17">
        <v>8</v>
      </c>
      <c r="W28" s="17">
        <v>1</v>
      </c>
      <c r="X28" s="17">
        <v>3678</v>
      </c>
    </row>
    <row r="29" spans="3:24" ht="12.75">
      <c r="C29" s="4" t="s">
        <v>34</v>
      </c>
      <c r="D29" s="10">
        <v>0</v>
      </c>
      <c r="E29" s="10">
        <v>0</v>
      </c>
      <c r="F29" s="10">
        <v>10</v>
      </c>
      <c r="G29" s="10">
        <v>55</v>
      </c>
      <c r="H29" s="10">
        <v>120</v>
      </c>
      <c r="I29" s="10">
        <v>120</v>
      </c>
      <c r="J29" s="10">
        <v>120</v>
      </c>
      <c r="K29" s="10">
        <v>0</v>
      </c>
      <c r="O29" s="17">
        <v>128</v>
      </c>
      <c r="P29" s="17">
        <v>3</v>
      </c>
      <c r="Q29" s="17">
        <v>5</v>
      </c>
      <c r="R29" s="17">
        <v>2</v>
      </c>
      <c r="S29" s="17">
        <v>7</v>
      </c>
      <c r="T29" s="17">
        <v>4</v>
      </c>
      <c r="U29" s="17">
        <v>8</v>
      </c>
      <c r="V29" s="17">
        <v>6</v>
      </c>
      <c r="W29" s="17">
        <v>1</v>
      </c>
      <c r="X29" s="17">
        <v>3855</v>
      </c>
    </row>
    <row r="30" spans="3:24" ht="12.75">
      <c r="C30" s="4" t="s">
        <v>62</v>
      </c>
      <c r="D30" s="10">
        <v>0</v>
      </c>
      <c r="E30" s="10">
        <v>80</v>
      </c>
      <c r="F30" s="10">
        <v>40</v>
      </c>
      <c r="G30" s="10">
        <v>0</v>
      </c>
      <c r="H30" s="10">
        <v>120</v>
      </c>
      <c r="I30" s="10">
        <v>120</v>
      </c>
      <c r="J30" s="10">
        <v>120</v>
      </c>
      <c r="K30" s="10">
        <v>0</v>
      </c>
      <c r="O30" s="17">
        <v>130</v>
      </c>
      <c r="P30" s="17">
        <v>3</v>
      </c>
      <c r="Q30" s="17">
        <v>5</v>
      </c>
      <c r="R30" s="17">
        <v>2</v>
      </c>
      <c r="S30" s="17">
        <v>8</v>
      </c>
      <c r="T30" s="17">
        <v>6</v>
      </c>
      <c r="U30" s="17">
        <v>7</v>
      </c>
      <c r="V30" s="17">
        <v>4</v>
      </c>
      <c r="W30" s="17">
        <v>1</v>
      </c>
      <c r="X30" s="17">
        <v>3873</v>
      </c>
    </row>
    <row r="31" spans="3:11" ht="12.75">
      <c r="C31" s="4" t="s">
        <v>63</v>
      </c>
      <c r="D31" s="10">
        <v>99999</v>
      </c>
      <c r="E31" s="10">
        <v>120</v>
      </c>
      <c r="F31" s="10">
        <v>120</v>
      </c>
      <c r="G31" s="10">
        <v>120</v>
      </c>
      <c r="H31" s="10">
        <v>240</v>
      </c>
      <c r="I31" s="10">
        <v>240</v>
      </c>
      <c r="J31" s="10">
        <v>240</v>
      </c>
      <c r="K31" s="10">
        <v>240</v>
      </c>
    </row>
    <row r="32" spans="3:11" ht="12.75">
      <c r="C32" s="4" t="s">
        <v>35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</row>
    <row r="33" spans="3:11" ht="12.75">
      <c r="C33" s="4" t="s">
        <v>64</v>
      </c>
      <c r="D33" s="10">
        <v>20</v>
      </c>
      <c r="E33" s="10">
        <v>20</v>
      </c>
      <c r="F33" s="10">
        <v>20</v>
      </c>
      <c r="G33" s="10">
        <v>20</v>
      </c>
      <c r="H33" s="10">
        <v>20</v>
      </c>
      <c r="I33" s="10">
        <v>20</v>
      </c>
      <c r="J33" s="10">
        <v>20</v>
      </c>
      <c r="K33" s="10">
        <v>20</v>
      </c>
    </row>
    <row r="34" spans="3:11" ht="12.75">
      <c r="C34" s="4" t="s">
        <v>65</v>
      </c>
      <c r="D34" s="10">
        <v>20</v>
      </c>
      <c r="E34" s="10">
        <v>20</v>
      </c>
      <c r="F34" s="10">
        <v>20</v>
      </c>
      <c r="G34" s="10">
        <v>20</v>
      </c>
      <c r="H34" s="10">
        <v>20</v>
      </c>
      <c r="I34" s="10">
        <v>20</v>
      </c>
      <c r="J34" s="10">
        <v>20</v>
      </c>
      <c r="K34" s="10">
        <v>100</v>
      </c>
    </row>
    <row r="36" spans="4:11" ht="12.75">
      <c r="D36" s="2" t="str">
        <f aca="true" t="shared" si="3" ref="D36:K36">INDEX(Route2_OpVarName,1,Route2_OpSequence)</f>
        <v>Depot</v>
      </c>
      <c r="E36" s="2" t="str">
        <f t="shared" si="3"/>
        <v>S2</v>
      </c>
      <c r="F36" s="2" t="str">
        <f t="shared" si="3"/>
        <v>S3</v>
      </c>
      <c r="G36" s="2" t="str">
        <f t="shared" si="3"/>
        <v>S1</v>
      </c>
      <c r="H36" s="2" t="str">
        <f t="shared" si="3"/>
        <v>S4</v>
      </c>
      <c r="I36" s="2" t="str">
        <f t="shared" si="3"/>
        <v>S5</v>
      </c>
      <c r="J36" s="2" t="str">
        <f t="shared" si="3"/>
        <v>S6</v>
      </c>
      <c r="K36" s="2" t="str">
        <f t="shared" si="3"/>
        <v>Depot</v>
      </c>
    </row>
    <row r="37" spans="3:11" ht="12.75">
      <c r="C37" s="4" t="s">
        <v>15</v>
      </c>
      <c r="D37" s="8">
        <f aca="true" t="shared" si="4" ref="D37:K37">Route2_OpSequence</f>
        <v>1</v>
      </c>
      <c r="E37" s="8">
        <f t="shared" si="4"/>
        <v>3</v>
      </c>
      <c r="F37" s="8">
        <f t="shared" si="4"/>
        <v>4</v>
      </c>
      <c r="G37" s="8">
        <f t="shared" si="4"/>
        <v>2</v>
      </c>
      <c r="H37" s="8">
        <f t="shared" si="4"/>
        <v>5</v>
      </c>
      <c r="I37" s="8">
        <f t="shared" si="4"/>
        <v>6</v>
      </c>
      <c r="J37" s="8">
        <f t="shared" si="4"/>
        <v>7</v>
      </c>
      <c r="K37" s="8">
        <f t="shared" si="4"/>
        <v>8</v>
      </c>
    </row>
    <row r="38" spans="3:11" ht="12.75">
      <c r="C38" s="4" t="s">
        <v>36</v>
      </c>
      <c r="D38" s="8">
        <f aca="true" t="shared" si="5" ref="D38:K38">INDEX(Route2_Release,1,Route2_OpSequence)</f>
        <v>0</v>
      </c>
      <c r="E38" s="8">
        <f t="shared" si="5"/>
        <v>10</v>
      </c>
      <c r="F38" s="8">
        <f t="shared" si="5"/>
        <v>55</v>
      </c>
      <c r="G38" s="8">
        <f t="shared" si="5"/>
        <v>0</v>
      </c>
      <c r="H38" s="8">
        <f t="shared" si="5"/>
        <v>120</v>
      </c>
      <c r="I38" s="8">
        <f t="shared" si="5"/>
        <v>120</v>
      </c>
      <c r="J38" s="8">
        <f t="shared" si="5"/>
        <v>120</v>
      </c>
      <c r="K38" s="8">
        <f t="shared" si="5"/>
        <v>0</v>
      </c>
    </row>
    <row r="40" spans="3:11" ht="12.75">
      <c r="C40" s="4" t="s">
        <v>33</v>
      </c>
      <c r="D40" s="8">
        <f aca="true" t="shared" si="6" ref="D40:K40">INDEX(Route2_Process,1,Route2_OpSequence)</f>
        <v>1</v>
      </c>
      <c r="E40" s="8">
        <f t="shared" si="6"/>
        <v>30</v>
      </c>
      <c r="F40" s="8">
        <f t="shared" si="6"/>
        <v>18</v>
      </c>
      <c r="G40" s="8">
        <f t="shared" si="6"/>
        <v>26</v>
      </c>
      <c r="H40" s="8">
        <f t="shared" si="6"/>
        <v>10</v>
      </c>
      <c r="I40" s="8">
        <f t="shared" si="6"/>
        <v>17</v>
      </c>
      <c r="J40" s="8">
        <f t="shared" si="6"/>
        <v>19</v>
      </c>
      <c r="K40" s="8">
        <f t="shared" si="6"/>
        <v>1</v>
      </c>
    </row>
    <row r="41" spans="3:11" ht="12.75">
      <c r="C41" s="4" t="s">
        <v>37</v>
      </c>
      <c r="D41" s="8">
        <f aca="true" t="shared" si="7" ref="D41:K41">INDEX(Route2_OpObjTerms,1,Route2_OpSequence)*INDEX(Route2_TimeDistance,1,Route2_OpSequence)</f>
        <v>5</v>
      </c>
      <c r="E41" s="8">
        <f t="shared" si="7"/>
        <v>10</v>
      </c>
      <c r="F41" s="8">
        <f t="shared" si="7"/>
        <v>25</v>
      </c>
      <c r="G41" s="8">
        <f t="shared" si="7"/>
        <v>25</v>
      </c>
      <c r="H41" s="8">
        <f t="shared" si="7"/>
        <v>16</v>
      </c>
      <c r="I41" s="8">
        <f t="shared" si="7"/>
        <v>3</v>
      </c>
      <c r="J41" s="8">
        <f t="shared" si="7"/>
        <v>16</v>
      </c>
      <c r="K41" s="8">
        <f t="shared" si="7"/>
        <v>0</v>
      </c>
    </row>
    <row r="42" spans="3:11" ht="12.75">
      <c r="C42" s="4" t="s">
        <v>38</v>
      </c>
      <c r="D42" s="8">
        <f>D38</f>
        <v>0</v>
      </c>
      <c r="E42" s="8">
        <f aca="true" t="shared" si="8" ref="E42:K42">MAX(D43+D41,E38)</f>
        <v>10</v>
      </c>
      <c r="F42" s="8">
        <f t="shared" si="8"/>
        <v>55</v>
      </c>
      <c r="G42" s="8">
        <f t="shared" si="8"/>
        <v>98</v>
      </c>
      <c r="H42" s="8">
        <f t="shared" si="8"/>
        <v>149</v>
      </c>
      <c r="I42" s="8">
        <f t="shared" si="8"/>
        <v>175</v>
      </c>
      <c r="J42" s="8">
        <f t="shared" si="8"/>
        <v>195</v>
      </c>
      <c r="K42" s="8">
        <f t="shared" si="8"/>
        <v>230</v>
      </c>
    </row>
    <row r="43" spans="3:11" ht="12.75">
      <c r="C43" s="4" t="s">
        <v>39</v>
      </c>
      <c r="D43" s="8">
        <f aca="true" t="shared" si="9" ref="D43:K43">D42+D40</f>
        <v>1</v>
      </c>
      <c r="E43" s="8">
        <f t="shared" si="9"/>
        <v>40</v>
      </c>
      <c r="F43" s="8">
        <f t="shared" si="9"/>
        <v>73</v>
      </c>
      <c r="G43" s="8">
        <f t="shared" si="9"/>
        <v>124</v>
      </c>
      <c r="H43" s="8">
        <f t="shared" si="9"/>
        <v>159</v>
      </c>
      <c r="I43" s="8">
        <f t="shared" si="9"/>
        <v>192</v>
      </c>
      <c r="J43" s="8">
        <f t="shared" si="9"/>
        <v>214</v>
      </c>
      <c r="K43" s="8">
        <f t="shared" si="9"/>
        <v>231</v>
      </c>
    </row>
    <row r="45" spans="3:11" ht="12.75">
      <c r="C45" s="4" t="s">
        <v>66</v>
      </c>
      <c r="D45" s="8">
        <f aca="true" t="shared" si="10" ref="D45:J45">IF(Route2_Start&lt;INDEX(Route2_EarlyDue,1,Route2_OpSequence),INDEX(Route2_EarlyDue,1,Route2_OpSequence)-Route2_Start,0)</f>
        <v>0</v>
      </c>
      <c r="E45" s="8">
        <f t="shared" si="10"/>
        <v>30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0"/>
        <v>0</v>
      </c>
      <c r="K45" s="8">
        <f>IF(Route2_Start&lt;INDEX(Route2_EarlyDue,1,Route2_OpSequence),INDEX(Route2_EarlyDue,1,Route2_OpSequence)-Route2_Start,0)</f>
        <v>0</v>
      </c>
    </row>
    <row r="46" spans="3:11" ht="12.75">
      <c r="C46" s="4" t="s">
        <v>67</v>
      </c>
      <c r="D46" s="8">
        <f aca="true" t="shared" si="11" ref="D46:K46">IF(Route2_Finish&gt;INDEX(Route2_LateDue,1,Route2_OpSequence),Route2_Finish-INDEX(Route2_LateDue,1,Route2_OpSequence),0)</f>
        <v>0</v>
      </c>
      <c r="E46" s="8">
        <f t="shared" si="11"/>
        <v>0</v>
      </c>
      <c r="F46" s="8">
        <f t="shared" si="11"/>
        <v>0</v>
      </c>
      <c r="G46" s="8">
        <f t="shared" si="11"/>
        <v>4</v>
      </c>
      <c r="H46" s="8">
        <f t="shared" si="11"/>
        <v>0</v>
      </c>
      <c r="I46" s="8">
        <f t="shared" si="11"/>
        <v>0</v>
      </c>
      <c r="J46" s="8">
        <f t="shared" si="11"/>
        <v>0</v>
      </c>
      <c r="K46" s="8">
        <f t="shared" si="11"/>
        <v>0</v>
      </c>
    </row>
    <row r="48" spans="3:11" ht="12.75">
      <c r="C48" s="4" t="s">
        <v>40</v>
      </c>
      <c r="D48" s="8">
        <f aca="true" t="shared" si="12" ref="D48:K48">INDEX(Route2_OpObjTerms,1,Route2_OpSequence)*INDEX(Route2_CostDistance,1,Route2_OpSequence)</f>
        <v>5</v>
      </c>
      <c r="E48" s="8">
        <f t="shared" si="12"/>
        <v>10</v>
      </c>
      <c r="F48" s="8">
        <f t="shared" si="12"/>
        <v>25</v>
      </c>
      <c r="G48" s="8">
        <f t="shared" si="12"/>
        <v>25</v>
      </c>
      <c r="H48" s="8">
        <f t="shared" si="12"/>
        <v>16</v>
      </c>
      <c r="I48" s="8">
        <f t="shared" si="12"/>
        <v>3</v>
      </c>
      <c r="J48" s="8">
        <f t="shared" si="12"/>
        <v>16</v>
      </c>
      <c r="K48" s="8">
        <f t="shared" si="12"/>
        <v>0</v>
      </c>
    </row>
    <row r="49" spans="3:11" ht="12.75">
      <c r="C49" s="4" t="s">
        <v>41</v>
      </c>
      <c r="D49" s="8">
        <f aca="true" t="shared" si="13" ref="D49:K49">Route2_Finish*INDEX(Route2_UnitDuration,1,Route2_OpSequence)</f>
        <v>1</v>
      </c>
      <c r="E49" s="8">
        <f t="shared" si="13"/>
        <v>40</v>
      </c>
      <c r="F49" s="8">
        <f t="shared" si="13"/>
        <v>73</v>
      </c>
      <c r="G49" s="8">
        <f t="shared" si="13"/>
        <v>124</v>
      </c>
      <c r="H49" s="8">
        <f t="shared" si="13"/>
        <v>159</v>
      </c>
      <c r="I49" s="8">
        <f t="shared" si="13"/>
        <v>192</v>
      </c>
      <c r="J49" s="8">
        <f t="shared" si="13"/>
        <v>214</v>
      </c>
      <c r="K49" s="8">
        <f t="shared" si="13"/>
        <v>231</v>
      </c>
    </row>
    <row r="50" spans="3:11" ht="12.75">
      <c r="C50" s="4" t="s">
        <v>68</v>
      </c>
      <c r="D50" s="8">
        <f aca="true" t="shared" si="14" ref="D50:K50">Route2_Early*INDEX(Route2_UnitEarly,1,Route2_OpSequence)</f>
        <v>0</v>
      </c>
      <c r="E50" s="8">
        <f t="shared" si="14"/>
        <v>600</v>
      </c>
      <c r="F50" s="8">
        <f t="shared" si="14"/>
        <v>0</v>
      </c>
      <c r="G50" s="8">
        <f t="shared" si="14"/>
        <v>0</v>
      </c>
      <c r="H50" s="8">
        <f t="shared" si="14"/>
        <v>0</v>
      </c>
      <c r="I50" s="8">
        <f t="shared" si="14"/>
        <v>0</v>
      </c>
      <c r="J50" s="8">
        <f t="shared" si="14"/>
        <v>0</v>
      </c>
      <c r="K50" s="8">
        <f t="shared" si="14"/>
        <v>0</v>
      </c>
    </row>
    <row r="51" spans="3:11" ht="12.75">
      <c r="C51" s="4" t="s">
        <v>69</v>
      </c>
      <c r="D51" s="8">
        <f aca="true" t="shared" si="15" ref="D51:K51">Route2_Late*INDEX(Route2_UnitLate,1,Route2_OpSequence)</f>
        <v>0</v>
      </c>
      <c r="E51" s="8">
        <f t="shared" si="15"/>
        <v>0</v>
      </c>
      <c r="F51" s="8">
        <f t="shared" si="15"/>
        <v>0</v>
      </c>
      <c r="G51" s="8">
        <f t="shared" si="15"/>
        <v>80</v>
      </c>
      <c r="H51" s="8">
        <f t="shared" si="15"/>
        <v>0</v>
      </c>
      <c r="I51" s="8">
        <f t="shared" si="15"/>
        <v>0</v>
      </c>
      <c r="J51" s="8">
        <f t="shared" si="15"/>
        <v>0</v>
      </c>
      <c r="K51" s="8">
        <f t="shared" si="15"/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E4"/>
  <sheetViews>
    <sheetView zoomScale="75" zoomScaleNormal="75" workbookViewId="0" topLeftCell="A1">
      <selection activeCell="BH32" sqref="BH32"/>
    </sheetView>
  </sheetViews>
  <sheetFormatPr defaultColWidth="11.00390625" defaultRowHeight="12.75"/>
  <cols>
    <col min="1" max="1" width="10.125" style="47" customWidth="1"/>
    <col min="2" max="16384" width="2.75390625" style="42" customWidth="1"/>
  </cols>
  <sheetData>
    <row r="1" s="21" customFormat="1" ht="12">
      <c r="A1" s="46" t="s">
        <v>72</v>
      </c>
    </row>
    <row r="2" spans="1:9" s="22" customFormat="1" ht="12">
      <c r="A2" s="47" t="s">
        <v>58</v>
      </c>
      <c r="B2" s="22">
        <v>1</v>
      </c>
      <c r="C2" s="22">
        <v>3</v>
      </c>
      <c r="D2" s="22">
        <v>4</v>
      </c>
      <c r="E2" s="22">
        <v>2</v>
      </c>
      <c r="F2" s="22">
        <v>5</v>
      </c>
      <c r="G2" s="22">
        <v>7</v>
      </c>
      <c r="H2" s="22">
        <v>6</v>
      </c>
      <c r="I2" s="22">
        <v>8</v>
      </c>
    </row>
    <row r="3" spans="1:239" s="21" customFormat="1" ht="12.75" thickBot="1">
      <c r="A3" s="47" t="s">
        <v>59</v>
      </c>
      <c r="B3" s="21">
        <v>0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>
        <v>25</v>
      </c>
      <c r="AB3" s="21">
        <v>26</v>
      </c>
      <c r="AC3" s="21">
        <v>27</v>
      </c>
      <c r="AD3" s="21">
        <v>28</v>
      </c>
      <c r="AE3" s="21">
        <v>29</v>
      </c>
      <c r="AF3" s="21">
        <v>30</v>
      </c>
      <c r="AG3" s="21">
        <v>31</v>
      </c>
      <c r="AH3" s="21">
        <v>32</v>
      </c>
      <c r="AI3" s="21">
        <v>33</v>
      </c>
      <c r="AJ3" s="21">
        <v>34</v>
      </c>
      <c r="AK3" s="21">
        <v>35</v>
      </c>
      <c r="AL3" s="21">
        <v>36</v>
      </c>
      <c r="AM3" s="21">
        <v>37</v>
      </c>
      <c r="AN3" s="21">
        <v>38</v>
      </c>
      <c r="AO3" s="21">
        <v>39</v>
      </c>
      <c r="AP3" s="21">
        <v>40</v>
      </c>
      <c r="AQ3" s="21">
        <v>41</v>
      </c>
      <c r="AR3" s="21">
        <v>42</v>
      </c>
      <c r="AS3" s="21">
        <v>43</v>
      </c>
      <c r="AT3" s="21">
        <v>44</v>
      </c>
      <c r="AU3" s="21">
        <v>45</v>
      </c>
      <c r="AV3" s="21">
        <v>46</v>
      </c>
      <c r="AW3" s="21">
        <v>47</v>
      </c>
      <c r="AX3" s="21">
        <v>48</v>
      </c>
      <c r="AY3" s="21">
        <v>49</v>
      </c>
      <c r="AZ3" s="21">
        <v>50</v>
      </c>
      <c r="BA3" s="21">
        <v>51</v>
      </c>
      <c r="BB3" s="21">
        <v>52</v>
      </c>
      <c r="BC3" s="21">
        <v>53</v>
      </c>
      <c r="BD3" s="21">
        <v>54</v>
      </c>
      <c r="BE3" s="21">
        <v>55</v>
      </c>
      <c r="BF3" s="21">
        <v>56</v>
      </c>
      <c r="BG3" s="21">
        <v>57</v>
      </c>
      <c r="BH3" s="21">
        <v>58</v>
      </c>
      <c r="BI3" s="21">
        <v>59</v>
      </c>
      <c r="BJ3" s="21">
        <v>60</v>
      </c>
      <c r="BK3" s="21">
        <v>61</v>
      </c>
      <c r="BL3" s="21">
        <v>62</v>
      </c>
      <c r="BM3" s="21">
        <v>63</v>
      </c>
      <c r="BN3" s="21">
        <v>64</v>
      </c>
      <c r="BO3" s="21">
        <v>65</v>
      </c>
      <c r="BP3" s="21">
        <v>66</v>
      </c>
      <c r="BQ3" s="21">
        <v>67</v>
      </c>
      <c r="BR3" s="21">
        <v>68</v>
      </c>
      <c r="BS3" s="21">
        <v>69</v>
      </c>
      <c r="BT3" s="21">
        <v>70</v>
      </c>
      <c r="BU3" s="21">
        <v>71</v>
      </c>
      <c r="BV3" s="21">
        <v>72</v>
      </c>
      <c r="BW3" s="21">
        <v>73</v>
      </c>
      <c r="BX3" s="21">
        <v>74</v>
      </c>
      <c r="BY3" s="21">
        <v>75</v>
      </c>
      <c r="BZ3" s="21">
        <v>76</v>
      </c>
      <c r="CA3" s="21">
        <v>77</v>
      </c>
      <c r="CB3" s="21">
        <v>78</v>
      </c>
      <c r="CC3" s="21">
        <v>79</v>
      </c>
      <c r="CD3" s="21">
        <v>80</v>
      </c>
      <c r="CE3" s="21">
        <v>81</v>
      </c>
      <c r="CF3" s="21">
        <v>82</v>
      </c>
      <c r="CG3" s="21">
        <v>83</v>
      </c>
      <c r="CH3" s="21">
        <v>84</v>
      </c>
      <c r="CI3" s="21">
        <v>85</v>
      </c>
      <c r="CJ3" s="21">
        <v>86</v>
      </c>
      <c r="CK3" s="21">
        <v>87</v>
      </c>
      <c r="CL3" s="21">
        <v>88</v>
      </c>
      <c r="CM3" s="21">
        <v>89</v>
      </c>
      <c r="CN3" s="21">
        <v>90</v>
      </c>
      <c r="CO3" s="21">
        <v>91</v>
      </c>
      <c r="CP3" s="21">
        <v>92</v>
      </c>
      <c r="CQ3" s="21">
        <v>93</v>
      </c>
      <c r="CR3" s="21">
        <v>94</v>
      </c>
      <c r="CS3" s="21">
        <v>95</v>
      </c>
      <c r="CT3" s="21">
        <v>96</v>
      </c>
      <c r="CU3" s="21">
        <v>97</v>
      </c>
      <c r="CV3" s="21">
        <v>98</v>
      </c>
      <c r="CW3" s="21">
        <v>99</v>
      </c>
      <c r="CX3" s="21">
        <v>100</v>
      </c>
      <c r="CY3" s="21">
        <v>101</v>
      </c>
      <c r="CZ3" s="21">
        <v>102</v>
      </c>
      <c r="DA3" s="21">
        <v>103</v>
      </c>
      <c r="DB3" s="21">
        <v>104</v>
      </c>
      <c r="DC3" s="21">
        <v>105</v>
      </c>
      <c r="DD3" s="21">
        <v>106</v>
      </c>
      <c r="DE3" s="21">
        <v>107</v>
      </c>
      <c r="DF3" s="21">
        <v>108</v>
      </c>
      <c r="DG3" s="21">
        <v>109</v>
      </c>
      <c r="DH3" s="21">
        <v>110</v>
      </c>
      <c r="DI3" s="21">
        <v>111</v>
      </c>
      <c r="DJ3" s="21">
        <v>112</v>
      </c>
      <c r="DK3" s="21">
        <v>113</v>
      </c>
      <c r="DL3" s="21">
        <v>114</v>
      </c>
      <c r="DM3" s="21">
        <v>115</v>
      </c>
      <c r="DN3" s="21">
        <v>116</v>
      </c>
      <c r="DO3" s="21">
        <v>117</v>
      </c>
      <c r="DP3" s="21">
        <v>118</v>
      </c>
      <c r="DQ3" s="21">
        <v>119</v>
      </c>
      <c r="DR3" s="21">
        <v>120</v>
      </c>
      <c r="DS3" s="21">
        <v>121</v>
      </c>
      <c r="DT3" s="21">
        <v>122</v>
      </c>
      <c r="DU3" s="21">
        <v>123</v>
      </c>
      <c r="DV3" s="21">
        <v>124</v>
      </c>
      <c r="DW3" s="21">
        <v>125</v>
      </c>
      <c r="DX3" s="21">
        <v>126</v>
      </c>
      <c r="DY3" s="21">
        <v>127</v>
      </c>
      <c r="DZ3" s="21">
        <v>128</v>
      </c>
      <c r="EA3" s="21">
        <v>129</v>
      </c>
      <c r="EB3" s="21">
        <v>130</v>
      </c>
      <c r="EC3" s="21">
        <v>131</v>
      </c>
      <c r="ED3" s="21">
        <v>132</v>
      </c>
      <c r="EE3" s="21">
        <v>133</v>
      </c>
      <c r="EF3" s="21">
        <v>134</v>
      </c>
      <c r="EG3" s="21">
        <v>135</v>
      </c>
      <c r="EH3" s="21">
        <v>136</v>
      </c>
      <c r="EI3" s="21">
        <v>137</v>
      </c>
      <c r="EJ3" s="21">
        <v>138</v>
      </c>
      <c r="EK3" s="21">
        <v>139</v>
      </c>
      <c r="EL3" s="21">
        <v>140</v>
      </c>
      <c r="EM3" s="21">
        <v>141</v>
      </c>
      <c r="EN3" s="21">
        <v>142</v>
      </c>
      <c r="EO3" s="21">
        <v>143</v>
      </c>
      <c r="EP3" s="21">
        <v>144</v>
      </c>
      <c r="EQ3" s="21">
        <v>145</v>
      </c>
      <c r="ER3" s="21">
        <v>146</v>
      </c>
      <c r="ES3" s="21">
        <v>147</v>
      </c>
      <c r="ET3" s="21">
        <v>148</v>
      </c>
      <c r="EU3" s="21">
        <v>149</v>
      </c>
      <c r="EV3" s="21">
        <v>150</v>
      </c>
      <c r="EW3" s="21">
        <v>151</v>
      </c>
      <c r="EX3" s="21">
        <v>152</v>
      </c>
      <c r="EY3" s="21">
        <v>153</v>
      </c>
      <c r="EZ3" s="21">
        <v>154</v>
      </c>
      <c r="FA3" s="21">
        <v>155</v>
      </c>
      <c r="FB3" s="21">
        <v>156</v>
      </c>
      <c r="FC3" s="21">
        <v>157</v>
      </c>
      <c r="FD3" s="21">
        <v>158</v>
      </c>
      <c r="FE3" s="21">
        <v>159</v>
      </c>
      <c r="FF3" s="21">
        <v>160</v>
      </c>
      <c r="FG3" s="21">
        <v>161</v>
      </c>
      <c r="FH3" s="21">
        <v>162</v>
      </c>
      <c r="FI3" s="21">
        <v>163</v>
      </c>
      <c r="FJ3" s="21">
        <v>164</v>
      </c>
      <c r="FK3" s="21">
        <v>165</v>
      </c>
      <c r="FL3" s="21">
        <v>166</v>
      </c>
      <c r="FM3" s="21">
        <v>167</v>
      </c>
      <c r="FN3" s="21">
        <v>168</v>
      </c>
      <c r="FO3" s="21">
        <v>169</v>
      </c>
      <c r="FP3" s="21">
        <v>170</v>
      </c>
      <c r="FQ3" s="21">
        <v>171</v>
      </c>
      <c r="FR3" s="21">
        <v>172</v>
      </c>
      <c r="FS3" s="21">
        <v>173</v>
      </c>
      <c r="FT3" s="21">
        <v>174</v>
      </c>
      <c r="FU3" s="21">
        <v>175</v>
      </c>
      <c r="FV3" s="21">
        <v>176</v>
      </c>
      <c r="FW3" s="21">
        <v>177</v>
      </c>
      <c r="FX3" s="21">
        <v>178</v>
      </c>
      <c r="FY3" s="21">
        <v>179</v>
      </c>
      <c r="FZ3" s="21">
        <v>180</v>
      </c>
      <c r="GA3" s="21">
        <v>181</v>
      </c>
      <c r="GB3" s="21">
        <v>182</v>
      </c>
      <c r="GC3" s="21">
        <v>183</v>
      </c>
      <c r="GD3" s="21">
        <v>184</v>
      </c>
      <c r="GE3" s="21">
        <v>185</v>
      </c>
      <c r="GF3" s="21">
        <v>186</v>
      </c>
      <c r="GG3" s="21">
        <v>187</v>
      </c>
      <c r="GH3" s="21">
        <v>188</v>
      </c>
      <c r="GI3" s="21">
        <v>189</v>
      </c>
      <c r="GJ3" s="21">
        <v>190</v>
      </c>
      <c r="GK3" s="21">
        <v>191</v>
      </c>
      <c r="GL3" s="21">
        <v>192</v>
      </c>
      <c r="GM3" s="21">
        <v>193</v>
      </c>
      <c r="GN3" s="21">
        <v>194</v>
      </c>
      <c r="GO3" s="21">
        <v>195</v>
      </c>
      <c r="GP3" s="21">
        <v>196</v>
      </c>
      <c r="GQ3" s="21">
        <v>197</v>
      </c>
      <c r="GR3" s="21">
        <v>198</v>
      </c>
      <c r="GS3" s="21">
        <v>199</v>
      </c>
      <c r="GT3" s="21">
        <v>200</v>
      </c>
      <c r="GU3" s="21">
        <v>201</v>
      </c>
      <c r="GV3" s="21">
        <v>202</v>
      </c>
      <c r="GW3" s="21">
        <v>203</v>
      </c>
      <c r="GX3" s="21">
        <v>204</v>
      </c>
      <c r="GY3" s="21">
        <v>205</v>
      </c>
      <c r="GZ3" s="21">
        <v>206</v>
      </c>
      <c r="HA3" s="21">
        <v>207</v>
      </c>
      <c r="HB3" s="21">
        <v>208</v>
      </c>
      <c r="HC3" s="21">
        <v>209</v>
      </c>
      <c r="HD3" s="21">
        <v>210</v>
      </c>
      <c r="HE3" s="21">
        <v>211</v>
      </c>
      <c r="HF3" s="21">
        <v>212</v>
      </c>
      <c r="HG3" s="21">
        <v>213</v>
      </c>
      <c r="HH3" s="21">
        <v>214</v>
      </c>
      <c r="HI3" s="21">
        <v>215</v>
      </c>
      <c r="HJ3" s="21">
        <v>216</v>
      </c>
      <c r="HK3" s="21">
        <v>217</v>
      </c>
      <c r="HL3" s="21">
        <v>218</v>
      </c>
      <c r="HM3" s="21">
        <v>219</v>
      </c>
      <c r="HN3" s="21">
        <v>220</v>
      </c>
      <c r="HO3" s="21">
        <v>221</v>
      </c>
      <c r="HP3" s="21">
        <v>222</v>
      </c>
      <c r="HQ3" s="21">
        <v>223</v>
      </c>
      <c r="HR3" s="21">
        <v>224</v>
      </c>
      <c r="HS3" s="21">
        <v>225</v>
      </c>
      <c r="HT3" s="21">
        <v>226</v>
      </c>
      <c r="HU3" s="21">
        <v>227</v>
      </c>
      <c r="HV3" s="21">
        <v>228</v>
      </c>
      <c r="HW3" s="21">
        <v>229</v>
      </c>
      <c r="HX3" s="21">
        <v>230</v>
      </c>
      <c r="HY3" s="21">
        <v>231</v>
      </c>
      <c r="HZ3" s="21">
        <v>232</v>
      </c>
      <c r="IA3" s="21">
        <v>233</v>
      </c>
      <c r="IB3" s="21">
        <v>234</v>
      </c>
      <c r="IC3" s="21">
        <v>235</v>
      </c>
      <c r="ID3" s="21">
        <v>236</v>
      </c>
      <c r="IE3" s="21">
        <v>237</v>
      </c>
    </row>
    <row r="4" spans="1:238" ht="13.5" thickBot="1" thickTop="1">
      <c r="A4" s="47" t="s">
        <v>60</v>
      </c>
      <c r="B4" s="23" t="s">
        <v>22</v>
      </c>
      <c r="G4" s="24"/>
      <c r="H4" s="29"/>
      <c r="I4" s="29"/>
      <c r="J4" s="29"/>
      <c r="K4" s="25"/>
      <c r="L4" s="39" t="s">
        <v>24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/>
      <c r="AU4" s="24"/>
      <c r="AV4" s="29"/>
      <c r="AW4" s="29"/>
      <c r="AX4" s="29"/>
      <c r="AY4" s="29"/>
      <c r="AZ4" s="29"/>
      <c r="BA4" s="29"/>
      <c r="BB4" s="29"/>
      <c r="BC4" s="29"/>
      <c r="BD4" s="25"/>
      <c r="BE4" s="33" t="s">
        <v>25</v>
      </c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24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5"/>
      <c r="CV4" s="30" t="s">
        <v>23</v>
      </c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2"/>
      <c r="DV4" s="24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5"/>
      <c r="EU4" s="26" t="s">
        <v>26</v>
      </c>
      <c r="EV4" s="27"/>
      <c r="EW4" s="27"/>
      <c r="EX4" s="27"/>
      <c r="EY4" s="27"/>
      <c r="EZ4" s="27"/>
      <c r="FA4" s="27"/>
      <c r="FB4" s="27"/>
      <c r="FC4" s="27"/>
      <c r="FD4" s="28"/>
      <c r="FE4" s="24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5"/>
      <c r="FX4" s="43" t="s">
        <v>28</v>
      </c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5"/>
      <c r="GQ4" s="24"/>
      <c r="GR4" s="29"/>
      <c r="GS4" s="25"/>
      <c r="GT4" s="36" t="s">
        <v>27</v>
      </c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8"/>
      <c r="HK4" s="24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5"/>
      <c r="ID4" s="23" t="s">
        <v>22</v>
      </c>
    </row>
    <row r="5" ht="12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P31"/>
  <sheetViews>
    <sheetView zoomScale="45" zoomScaleNormal="45" workbookViewId="0" topLeftCell="B3">
      <selection activeCell="AS31" sqref="AS31"/>
    </sheetView>
  </sheetViews>
  <sheetFormatPr defaultColWidth="11.00390625" defaultRowHeight="12.75"/>
  <cols>
    <col min="3" max="42" width="5.75390625" style="0" customWidth="1"/>
  </cols>
  <sheetData>
    <row r="1" ht="18">
      <c r="A1" s="1" t="s">
        <v>76</v>
      </c>
    </row>
    <row r="2" spans="2:9" ht="12.75">
      <c r="B2" s="49" t="s">
        <v>75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</row>
    <row r="3" spans="2:9" ht="12.75">
      <c r="B3" s="49" t="s">
        <v>58</v>
      </c>
      <c r="C3">
        <v>1</v>
      </c>
      <c r="D3">
        <v>3</v>
      </c>
      <c r="E3">
        <v>4</v>
      </c>
      <c r="F3">
        <v>2</v>
      </c>
      <c r="G3">
        <v>5</v>
      </c>
      <c r="H3">
        <v>6</v>
      </c>
      <c r="I3">
        <v>7</v>
      </c>
    </row>
    <row r="4" ht="34.5" customHeight="1">
      <c r="B4" s="49" t="s">
        <v>17</v>
      </c>
    </row>
    <row r="5" ht="34.5" customHeight="1">
      <c r="B5" s="2">
        <v>40</v>
      </c>
    </row>
    <row r="6" spans="2:40" ht="34.5" customHeight="1">
      <c r="B6" s="2">
        <v>39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2:40" ht="34.5" customHeight="1">
      <c r="B7" s="2">
        <v>38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2:40" ht="34.5" customHeight="1">
      <c r="B8" s="2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2:40" ht="34.5" customHeight="1">
      <c r="B9" s="2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ht="34.5" customHeight="1">
      <c r="B10" s="2">
        <v>35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ht="34.5" customHeight="1">
      <c r="B11" s="2">
        <v>34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ht="34.5" customHeight="1">
      <c r="B12" s="2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ht="34.5" customHeight="1">
      <c r="B13" s="2">
        <v>32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ht="34.5" customHeight="1">
      <c r="B14" s="2">
        <v>31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ht="34.5" customHeight="1">
      <c r="B15" s="2">
        <v>30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ht="34.5" customHeight="1">
      <c r="B16" s="2">
        <v>29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ht="34.5" customHeight="1">
      <c r="B17" s="2">
        <v>28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ht="34.5" customHeight="1">
      <c r="B18" s="2">
        <v>27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ht="34.5" customHeight="1">
      <c r="B19" s="2">
        <v>26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ht="34.5" customHeight="1">
      <c r="B20" s="2">
        <v>25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ht="34.5" customHeight="1">
      <c r="B21" s="2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ht="34.5" customHeight="1">
      <c r="B22" s="2">
        <v>23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ht="34.5" customHeight="1">
      <c r="B23" s="2">
        <v>22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ht="34.5" customHeight="1">
      <c r="B24" s="2">
        <v>21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ht="34.5" customHeight="1">
      <c r="B25" s="2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ht="34.5" customHeight="1">
      <c r="B26" s="2">
        <v>19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ht="34.5" customHeight="1">
      <c r="B27" s="2">
        <v>18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ht="34.5" customHeight="1">
      <c r="B28" s="2">
        <v>17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ht="34.5" customHeight="1">
      <c r="B29" s="2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ht="34.5" customHeight="1">
      <c r="B30" s="2">
        <v>15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3:42" ht="34.5" customHeight="1">
      <c r="C31" s="50">
        <v>2</v>
      </c>
      <c r="D31" s="50">
        <v>3</v>
      </c>
      <c r="E31" s="50">
        <v>4</v>
      </c>
      <c r="F31" s="50">
        <v>5</v>
      </c>
      <c r="G31" s="50">
        <v>6</v>
      </c>
      <c r="H31" s="50">
        <v>7</v>
      </c>
      <c r="I31" s="50">
        <v>8</v>
      </c>
      <c r="J31" s="50">
        <v>9</v>
      </c>
      <c r="K31" s="50">
        <v>10</v>
      </c>
      <c r="L31" s="50">
        <v>11</v>
      </c>
      <c r="M31" s="50">
        <v>12</v>
      </c>
      <c r="N31" s="50">
        <v>13</v>
      </c>
      <c r="O31" s="50">
        <v>14</v>
      </c>
      <c r="P31" s="50">
        <v>15</v>
      </c>
      <c r="Q31" s="50">
        <v>16</v>
      </c>
      <c r="R31" s="50">
        <v>17</v>
      </c>
      <c r="S31" s="50">
        <v>18</v>
      </c>
      <c r="T31" s="50">
        <v>19</v>
      </c>
      <c r="U31" s="50">
        <v>20</v>
      </c>
      <c r="V31" s="50">
        <v>21</v>
      </c>
      <c r="W31" s="50">
        <v>22</v>
      </c>
      <c r="X31" s="50">
        <v>23</v>
      </c>
      <c r="Y31" s="50">
        <v>24</v>
      </c>
      <c r="Z31" s="50">
        <v>25</v>
      </c>
      <c r="AA31" s="50">
        <v>26</v>
      </c>
      <c r="AB31" s="50">
        <v>27</v>
      </c>
      <c r="AC31" s="50">
        <v>28</v>
      </c>
      <c r="AD31" s="50">
        <v>29</v>
      </c>
      <c r="AE31" s="50">
        <v>30</v>
      </c>
      <c r="AF31" s="50">
        <v>31</v>
      </c>
      <c r="AG31" s="50">
        <v>32</v>
      </c>
      <c r="AH31" s="50">
        <v>33</v>
      </c>
      <c r="AI31" s="50">
        <v>34</v>
      </c>
      <c r="AJ31" s="50">
        <v>35</v>
      </c>
      <c r="AK31" s="50">
        <v>36</v>
      </c>
      <c r="AL31" s="50">
        <v>37</v>
      </c>
      <c r="AM31" s="50">
        <v>38</v>
      </c>
      <c r="AN31" s="50">
        <v>39</v>
      </c>
      <c r="AO31" s="50">
        <v>40</v>
      </c>
      <c r="AP31" s="51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2004-02-04T15:21:57Z</dcterms:created>
  <cp:category/>
  <cp:version/>
  <cp:contentType/>
  <cp:contentStatus/>
</cp:coreProperties>
</file>